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girsh\Desktop\Гирш\Договоры\Ростов Официальный\2023\"/>
    </mc:Choice>
  </mc:AlternateContent>
  <bookViews>
    <workbookView xWindow="32760" yWindow="32760" windowWidth="28800" windowHeight="11625" firstSheet="16" activeTab="16"/>
  </bookViews>
  <sheets>
    <sheet name="янв 13 только УПП" sheetId="1" state="hidden" r:id="rId1"/>
    <sheet name="фев 13 только УПП" sheetId="7" state="hidden" r:id="rId2"/>
    <sheet name="март 13 только УПП" sheetId="8" state="hidden" r:id="rId3"/>
    <sheet name="апрель 13 только УПП" sheetId="9" state="hidden" r:id="rId4"/>
    <sheet name="май 13 только УПП" sheetId="10" state="hidden" r:id="rId5"/>
    <sheet name="январь22" sheetId="114" state="hidden" r:id="rId6"/>
    <sheet name="февраль22" sheetId="118" state="hidden" r:id="rId7"/>
    <sheet name="март22 " sheetId="119" state="hidden" r:id="rId8"/>
    <sheet name="апрель 22" sheetId="120" state="hidden" r:id="rId9"/>
    <sheet name="май 22" sheetId="121" state="hidden" r:id="rId10"/>
    <sheet name="июнь 22" sheetId="122" state="hidden" r:id="rId11"/>
    <sheet name="июль 22" sheetId="123" state="hidden" r:id="rId12"/>
    <sheet name="август 22" sheetId="124" state="hidden" r:id="rId13"/>
    <sheet name="сентябрь 22" sheetId="125" state="hidden" r:id="rId14"/>
    <sheet name="октябрь 22 " sheetId="126" state="hidden" r:id="rId15"/>
    <sheet name="ноябрь 22" sheetId="127" state="hidden" r:id="rId16"/>
    <sheet name="декабрь 22" sheetId="128" r:id="rId17"/>
    <sheet name="1пг" sheetId="115" state="hidden" r:id="rId18"/>
    <sheet name="2пг" sheetId="116" state="hidden" r:id="rId19"/>
    <sheet name="2021" sheetId="117" state="hidden" r:id="rId20"/>
    <sheet name="Лист1" sheetId="6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</externalReferences>
  <definedNames>
    <definedName name="_xlnm.Print_Area" localSheetId="17">'1пг'!$A$1:$N$11</definedName>
    <definedName name="_xlnm.Print_Area" localSheetId="19">'2021'!$A$1:$N$11</definedName>
    <definedName name="_xlnm.Print_Area" localSheetId="18">'2пг'!$A$1:$N$11</definedName>
    <definedName name="_xlnm.Print_Area" localSheetId="12">'август 22'!$A$1:$N$11</definedName>
    <definedName name="_xlnm.Print_Area" localSheetId="3">'апрель 13 только УПП'!$A$1:$L$16</definedName>
    <definedName name="_xlnm.Print_Area" localSheetId="8">'апрель 22'!$A$1:$N$11</definedName>
    <definedName name="_xlnm.Print_Area" localSheetId="16">'декабрь 22'!$A$1:$N$17</definedName>
    <definedName name="_xlnm.Print_Area" localSheetId="11">'июль 22'!$A$1:$N$11</definedName>
    <definedName name="_xlnm.Print_Area" localSheetId="10">'июнь 22'!$A$1:$N$11</definedName>
    <definedName name="_xlnm.Print_Area" localSheetId="4">'май 13 только УПП'!$A$1:$L$16</definedName>
    <definedName name="_xlnm.Print_Area" localSheetId="9">'май 22'!$A$1:$N$11</definedName>
    <definedName name="_xlnm.Print_Area" localSheetId="2">'март 13 только УПП'!$A$1:$L$16</definedName>
    <definedName name="_xlnm.Print_Area" localSheetId="7">'март22 '!$A$1:$N$11</definedName>
    <definedName name="_xlnm.Print_Area" localSheetId="15">'ноябрь 22'!$A$1:$N$11</definedName>
    <definedName name="_xlnm.Print_Area" localSheetId="14">'октябрь 22 '!$A$1:$N$11</definedName>
    <definedName name="_xlnm.Print_Area" localSheetId="13">'сентябрь 22'!$A$1:$N$11</definedName>
    <definedName name="_xlnm.Print_Area" localSheetId="1">'фев 13 только УПП'!$A$1:$L$11</definedName>
    <definedName name="_xlnm.Print_Area" localSheetId="6">февраль22!$A$1:$N$11</definedName>
    <definedName name="_xlnm.Print_Area" localSheetId="0">'янв 13 только УПП'!$A$1:$L$11</definedName>
    <definedName name="_xlnm.Print_Area" localSheetId="5">январь22!$A$1:$N$11</definedName>
  </definedNames>
  <calcPr calcId="152511" refMode="R1C1"/>
</workbook>
</file>

<file path=xl/calcChain.xml><?xml version="1.0" encoding="utf-8"?>
<calcChain xmlns="http://schemas.openxmlformats.org/spreadsheetml/2006/main">
  <c r="G19" i="128" l="1"/>
  <c r="M11" i="128"/>
  <c r="M10" i="128"/>
  <c r="M8" i="128"/>
  <c r="M9" i="128"/>
  <c r="K20" i="128"/>
  <c r="E21" i="128"/>
  <c r="C19" i="128"/>
  <c r="L11" i="128"/>
  <c r="D11" i="128"/>
  <c r="C11" i="128"/>
  <c r="L10" i="128"/>
  <c r="N9" i="128"/>
  <c r="L8" i="128"/>
  <c r="E8" i="128"/>
  <c r="D8" i="128"/>
  <c r="D6" i="128"/>
  <c r="L9" i="128"/>
  <c r="R8" i="128"/>
  <c r="K7" i="128"/>
  <c r="B7" i="128"/>
  <c r="J7" i="128"/>
  <c r="G7" i="128"/>
  <c r="C7" i="128"/>
  <c r="Q7" i="127"/>
  <c r="Q6" i="127"/>
  <c r="E21" i="127"/>
  <c r="C19" i="127"/>
  <c r="M21" i="127"/>
  <c r="K20" i="127"/>
  <c r="F8" i="127"/>
  <c r="F6" i="127"/>
  <c r="F12" i="127"/>
  <c r="E8" i="127"/>
  <c r="D8" i="127"/>
  <c r="D11" i="127"/>
  <c r="C11" i="127"/>
  <c r="N11" i="127"/>
  <c r="M11" i="127"/>
  <c r="L11" i="127"/>
  <c r="N10" i="127"/>
  <c r="J10" i="127"/>
  <c r="M10" i="127"/>
  <c r="I10" i="127"/>
  <c r="L10" i="127"/>
  <c r="H10" i="127"/>
  <c r="M9" i="127"/>
  <c r="I9" i="127"/>
  <c r="G9" i="127"/>
  <c r="B9" i="127"/>
  <c r="N8" i="127"/>
  <c r="J8" i="127"/>
  <c r="M8" i="127"/>
  <c r="L8" i="127"/>
  <c r="H8" i="127"/>
  <c r="H6" i="127"/>
  <c r="H12" i="127"/>
  <c r="H16" i="127"/>
  <c r="H14" i="127"/>
  <c r="G14" i="127"/>
  <c r="E11" i="127"/>
  <c r="I11" i="127"/>
  <c r="E10" i="127"/>
  <c r="N9" i="127"/>
  <c r="J9" i="127"/>
  <c r="L9" i="127"/>
  <c r="H9" i="127"/>
  <c r="E9" i="127"/>
  <c r="R8" i="127"/>
  <c r="Q8" i="127"/>
  <c r="K7" i="127"/>
  <c r="J7" i="127"/>
  <c r="G7" i="127"/>
  <c r="C7" i="127"/>
  <c r="Q7" i="126"/>
  <c r="E21" i="126"/>
  <c r="C19" i="126"/>
  <c r="D11" i="126"/>
  <c r="F8" i="126"/>
  <c r="E8" i="126"/>
  <c r="D8" i="126"/>
  <c r="J9" i="126"/>
  <c r="H8" i="126"/>
  <c r="Q6" i="126"/>
  <c r="Q8" i="126"/>
  <c r="M21" i="126"/>
  <c r="K20" i="126"/>
  <c r="M9" i="126"/>
  <c r="N8" i="126"/>
  <c r="M8" i="126"/>
  <c r="L8" i="126"/>
  <c r="N11" i="126"/>
  <c r="J11" i="126"/>
  <c r="M11" i="126"/>
  <c r="I11" i="126"/>
  <c r="L11" i="126"/>
  <c r="H11" i="126"/>
  <c r="N10" i="126"/>
  <c r="M10" i="126"/>
  <c r="I10" i="126"/>
  <c r="L10" i="126"/>
  <c r="H10" i="126"/>
  <c r="H16" i="126"/>
  <c r="H14" i="126"/>
  <c r="G14" i="126"/>
  <c r="E11" i="126"/>
  <c r="C11" i="126"/>
  <c r="E10" i="126"/>
  <c r="N9" i="126"/>
  <c r="L9" i="126"/>
  <c r="E9" i="126"/>
  <c r="I9" i="126"/>
  <c r="R8" i="126"/>
  <c r="K8" i="126"/>
  <c r="K7" i="126"/>
  <c r="J7" i="126"/>
  <c r="G7" i="126"/>
  <c r="B7" i="126"/>
  <c r="C7" i="126"/>
  <c r="D6" i="126"/>
  <c r="Q7" i="125"/>
  <c r="C19" i="125"/>
  <c r="D11" i="125"/>
  <c r="C11" i="125"/>
  <c r="F8" i="125"/>
  <c r="E8" i="125"/>
  <c r="E6" i="125"/>
  <c r="E12" i="125"/>
  <c r="D8" i="125"/>
  <c r="H9" i="125"/>
  <c r="H6" i="125"/>
  <c r="Q6" i="125"/>
  <c r="M21" i="125"/>
  <c r="E21" i="125"/>
  <c r="K20" i="125"/>
  <c r="M9" i="125"/>
  <c r="I9" i="125"/>
  <c r="N8" i="125"/>
  <c r="M8" i="125"/>
  <c r="L8" i="125"/>
  <c r="H8" i="125"/>
  <c r="N11" i="125"/>
  <c r="J11" i="125"/>
  <c r="M11" i="125"/>
  <c r="I11" i="125"/>
  <c r="L11" i="125"/>
  <c r="H11" i="125"/>
  <c r="G11" i="125"/>
  <c r="N10" i="125"/>
  <c r="J10" i="125"/>
  <c r="M10" i="125"/>
  <c r="L10" i="125"/>
  <c r="H10" i="125"/>
  <c r="H16" i="125"/>
  <c r="H14" i="125"/>
  <c r="G14" i="125"/>
  <c r="E11" i="125"/>
  <c r="E10" i="125"/>
  <c r="I10" i="125"/>
  <c r="N9" i="125"/>
  <c r="J9" i="125"/>
  <c r="L9" i="125"/>
  <c r="E9" i="125"/>
  <c r="R8" i="125"/>
  <c r="K7" i="125"/>
  <c r="J7" i="125"/>
  <c r="G7" i="125"/>
  <c r="B7" i="125"/>
  <c r="C7" i="125"/>
  <c r="Q8" i="125"/>
  <c r="L6" i="125"/>
  <c r="D6" i="125"/>
  <c r="E8" i="124"/>
  <c r="Q7" i="124"/>
  <c r="Q6" i="124"/>
  <c r="M21" i="124"/>
  <c r="K20" i="124"/>
  <c r="E21" i="124"/>
  <c r="C19" i="124"/>
  <c r="D11" i="124"/>
  <c r="D6" i="124"/>
  <c r="D12" i="124"/>
  <c r="F8" i="124"/>
  <c r="D8" i="124"/>
  <c r="H8" i="124"/>
  <c r="G8" i="124"/>
  <c r="I8" i="124"/>
  <c r="N11" i="124"/>
  <c r="M11" i="124"/>
  <c r="L11" i="124"/>
  <c r="N10" i="124"/>
  <c r="J10" i="124"/>
  <c r="G10" i="124"/>
  <c r="M10" i="124"/>
  <c r="L10" i="124"/>
  <c r="H10" i="124"/>
  <c r="M9" i="124"/>
  <c r="N8" i="124"/>
  <c r="J8" i="124"/>
  <c r="M8" i="124"/>
  <c r="L8" i="124"/>
  <c r="H16" i="124"/>
  <c r="H14" i="124"/>
  <c r="G14" i="124"/>
  <c r="E11" i="124"/>
  <c r="E10" i="124"/>
  <c r="I10" i="124"/>
  <c r="N9" i="124"/>
  <c r="J9" i="124"/>
  <c r="L9" i="124"/>
  <c r="H9" i="124"/>
  <c r="K9" i="124"/>
  <c r="E9" i="124"/>
  <c r="I9" i="124"/>
  <c r="R8" i="124"/>
  <c r="K7" i="124"/>
  <c r="J7" i="124"/>
  <c r="G7" i="124"/>
  <c r="C7" i="124"/>
  <c r="F6" i="124"/>
  <c r="F12" i="124"/>
  <c r="Q7" i="123"/>
  <c r="Q6" i="123"/>
  <c r="E21" i="123"/>
  <c r="C19" i="123"/>
  <c r="D11" i="123"/>
  <c r="F8" i="123"/>
  <c r="F6" i="123"/>
  <c r="F12" i="123"/>
  <c r="E8" i="123"/>
  <c r="D8" i="123"/>
  <c r="D6" i="123"/>
  <c r="M21" i="123"/>
  <c r="K20" i="123"/>
  <c r="M9" i="123"/>
  <c r="I9" i="123"/>
  <c r="N8" i="123"/>
  <c r="J8" i="123"/>
  <c r="M8" i="123"/>
  <c r="I8" i="123"/>
  <c r="I6" i="123"/>
  <c r="I12" i="123"/>
  <c r="L8" i="123"/>
  <c r="H8" i="123"/>
  <c r="H6" i="123"/>
  <c r="H12" i="123"/>
  <c r="N11" i="123"/>
  <c r="J11" i="123"/>
  <c r="M11" i="123"/>
  <c r="L11" i="123"/>
  <c r="H11" i="123"/>
  <c r="N10" i="123"/>
  <c r="J10" i="123"/>
  <c r="M10" i="123"/>
  <c r="I10" i="123"/>
  <c r="L10" i="123"/>
  <c r="H10" i="123"/>
  <c r="G10" i="123"/>
  <c r="B10" i="123"/>
  <c r="H16" i="123"/>
  <c r="H14" i="123"/>
  <c r="G14" i="123"/>
  <c r="E11" i="123"/>
  <c r="I11" i="123"/>
  <c r="C11" i="123"/>
  <c r="E10" i="123"/>
  <c r="N9" i="123"/>
  <c r="L9" i="123"/>
  <c r="H9" i="123"/>
  <c r="E9" i="123"/>
  <c r="R8" i="123"/>
  <c r="K7" i="123"/>
  <c r="J7" i="123"/>
  <c r="G7" i="123"/>
  <c r="B7" i="123"/>
  <c r="C7" i="123"/>
  <c r="Q8" i="123"/>
  <c r="Q7" i="122"/>
  <c r="Q6" i="122"/>
  <c r="Q8" i="122"/>
  <c r="E21" i="122"/>
  <c r="C19" i="122"/>
  <c r="D11" i="122"/>
  <c r="F8" i="122"/>
  <c r="E8" i="122"/>
  <c r="I8" i="122"/>
  <c r="D8" i="122"/>
  <c r="D6" i="122"/>
  <c r="I11" i="122"/>
  <c r="J9" i="122"/>
  <c r="M21" i="122"/>
  <c r="K20" i="122"/>
  <c r="N11" i="122"/>
  <c r="J11" i="122"/>
  <c r="M11" i="122"/>
  <c r="L11" i="122"/>
  <c r="H11" i="122"/>
  <c r="N10" i="122"/>
  <c r="J10" i="122"/>
  <c r="G10" i="122"/>
  <c r="M10" i="122"/>
  <c r="I10" i="122"/>
  <c r="L10" i="122"/>
  <c r="H10" i="122"/>
  <c r="M9" i="122"/>
  <c r="I9" i="122"/>
  <c r="G9" i="122"/>
  <c r="B9" i="122"/>
  <c r="N8" i="122"/>
  <c r="M8" i="122"/>
  <c r="L8" i="122"/>
  <c r="H8" i="122"/>
  <c r="H16" i="122"/>
  <c r="H14" i="122"/>
  <c r="G14" i="122"/>
  <c r="K11" i="122"/>
  <c r="E11" i="122"/>
  <c r="C11" i="122"/>
  <c r="E10" i="122"/>
  <c r="N9" i="122"/>
  <c r="L9" i="122"/>
  <c r="H9" i="122"/>
  <c r="K9" i="122"/>
  <c r="E9" i="122"/>
  <c r="R8" i="122"/>
  <c r="K7" i="122"/>
  <c r="J7" i="122"/>
  <c r="G7" i="122"/>
  <c r="B7" i="122"/>
  <c r="C7" i="122"/>
  <c r="Q7" i="121"/>
  <c r="E21" i="121"/>
  <c r="C19" i="121"/>
  <c r="Q6" i="121"/>
  <c r="Q8" i="121"/>
  <c r="D11" i="121"/>
  <c r="C11" i="121"/>
  <c r="F8" i="121"/>
  <c r="E8" i="121"/>
  <c r="D8" i="121"/>
  <c r="D6" i="121"/>
  <c r="I9" i="121"/>
  <c r="M21" i="121"/>
  <c r="K20" i="121"/>
  <c r="N11" i="121"/>
  <c r="J11" i="121"/>
  <c r="M11" i="121"/>
  <c r="I11" i="121"/>
  <c r="L11" i="121"/>
  <c r="N10" i="121"/>
  <c r="J10" i="121"/>
  <c r="M10" i="121"/>
  <c r="I10" i="121"/>
  <c r="L10" i="121"/>
  <c r="H10" i="121"/>
  <c r="M9" i="121"/>
  <c r="N8" i="121"/>
  <c r="N6" i="121"/>
  <c r="M8" i="121"/>
  <c r="L8" i="121"/>
  <c r="L6" i="121"/>
  <c r="H16" i="121"/>
  <c r="H14" i="121"/>
  <c r="G14" i="121"/>
  <c r="E11" i="121"/>
  <c r="E10" i="121"/>
  <c r="C10" i="121"/>
  <c r="N9" i="121"/>
  <c r="J9" i="121"/>
  <c r="L9" i="121"/>
  <c r="H9" i="121"/>
  <c r="E9" i="121"/>
  <c r="C9" i="121"/>
  <c r="R8" i="121"/>
  <c r="K7" i="121"/>
  <c r="J7" i="121"/>
  <c r="G7" i="121"/>
  <c r="C7" i="121"/>
  <c r="Q7" i="120"/>
  <c r="E21" i="120"/>
  <c r="C19" i="120"/>
  <c r="D11" i="120"/>
  <c r="H11" i="120"/>
  <c r="F8" i="120"/>
  <c r="E8" i="120"/>
  <c r="D8" i="120"/>
  <c r="J9" i="120"/>
  <c r="M21" i="120"/>
  <c r="K20" i="120"/>
  <c r="N11" i="120"/>
  <c r="J11" i="120"/>
  <c r="M11" i="120"/>
  <c r="K11" i="120"/>
  <c r="L11" i="120"/>
  <c r="N10" i="120"/>
  <c r="M10" i="120"/>
  <c r="L10" i="120"/>
  <c r="M9" i="120"/>
  <c r="Q6" i="120"/>
  <c r="Q8" i="120"/>
  <c r="N8" i="120"/>
  <c r="J8" i="120"/>
  <c r="M8" i="120"/>
  <c r="L8" i="120"/>
  <c r="H16" i="120"/>
  <c r="H14" i="120"/>
  <c r="G14" i="120"/>
  <c r="E11" i="120"/>
  <c r="C11" i="120"/>
  <c r="E10" i="120"/>
  <c r="N9" i="120"/>
  <c r="L9" i="120"/>
  <c r="H9" i="120"/>
  <c r="E9" i="120"/>
  <c r="R8" i="120"/>
  <c r="L6" i="120"/>
  <c r="K7" i="120"/>
  <c r="J7" i="120"/>
  <c r="G7" i="120"/>
  <c r="C7" i="120"/>
  <c r="F6" i="120"/>
  <c r="F12" i="120"/>
  <c r="E8" i="119"/>
  <c r="D11" i="119"/>
  <c r="C11" i="119"/>
  <c r="C19" i="119"/>
  <c r="F8" i="119"/>
  <c r="D8" i="119"/>
  <c r="H8" i="119"/>
  <c r="G14" i="119"/>
  <c r="Q7" i="119"/>
  <c r="Q6" i="119"/>
  <c r="J10" i="119"/>
  <c r="M21" i="119"/>
  <c r="E21" i="119"/>
  <c r="K20" i="119"/>
  <c r="M9" i="119"/>
  <c r="N8" i="119"/>
  <c r="M8" i="119"/>
  <c r="I8" i="119"/>
  <c r="L8" i="119"/>
  <c r="N11" i="119"/>
  <c r="J11" i="119"/>
  <c r="M11" i="119"/>
  <c r="K11" i="119"/>
  <c r="L11" i="119"/>
  <c r="H11" i="119"/>
  <c r="G11" i="119"/>
  <c r="B11" i="119"/>
  <c r="N10" i="119"/>
  <c r="M10" i="119"/>
  <c r="L10" i="119"/>
  <c r="H10" i="119"/>
  <c r="G10" i="119"/>
  <c r="H16" i="119"/>
  <c r="H14" i="119"/>
  <c r="E11" i="119"/>
  <c r="E10" i="119"/>
  <c r="C10" i="119"/>
  <c r="N9" i="119"/>
  <c r="L9" i="119"/>
  <c r="H9" i="119"/>
  <c r="E9" i="119"/>
  <c r="C9" i="119"/>
  <c r="R8" i="119"/>
  <c r="F6" i="119"/>
  <c r="F12" i="119"/>
  <c r="C8" i="119"/>
  <c r="K7" i="119"/>
  <c r="J7" i="119"/>
  <c r="H7" i="119"/>
  <c r="E7" i="119"/>
  <c r="C7" i="119"/>
  <c r="Q8" i="119"/>
  <c r="Q7" i="118"/>
  <c r="Q8" i="118"/>
  <c r="Q6" i="118"/>
  <c r="K20" i="118"/>
  <c r="E8" i="118"/>
  <c r="E21" i="118"/>
  <c r="C19" i="118"/>
  <c r="D11" i="118"/>
  <c r="F8" i="118"/>
  <c r="D8" i="118"/>
  <c r="H8" i="118"/>
  <c r="J8" i="118"/>
  <c r="N11" i="118"/>
  <c r="J11" i="118"/>
  <c r="M11" i="118"/>
  <c r="L11" i="118"/>
  <c r="N10" i="118"/>
  <c r="M10" i="118"/>
  <c r="I10" i="118"/>
  <c r="L10" i="118"/>
  <c r="L6" i="118"/>
  <c r="M9" i="118"/>
  <c r="N8" i="118"/>
  <c r="M8" i="118"/>
  <c r="M6" i="118"/>
  <c r="M12" i="118"/>
  <c r="L8" i="118"/>
  <c r="M21" i="118"/>
  <c r="H16" i="118"/>
  <c r="H14" i="118"/>
  <c r="G14" i="118"/>
  <c r="K11" i="118"/>
  <c r="E11" i="118"/>
  <c r="C11" i="118"/>
  <c r="E10" i="118"/>
  <c r="N9" i="118"/>
  <c r="J9" i="118"/>
  <c r="L9" i="118"/>
  <c r="K9" i="118"/>
  <c r="E9" i="118"/>
  <c r="R8" i="118"/>
  <c r="K7" i="118"/>
  <c r="J7" i="118"/>
  <c r="H7" i="118"/>
  <c r="E7" i="118"/>
  <c r="I7" i="118"/>
  <c r="G7" i="118"/>
  <c r="B7" i="118"/>
  <c r="C7" i="118"/>
  <c r="F6" i="118"/>
  <c r="F12" i="118"/>
  <c r="Q7" i="114"/>
  <c r="Q6" i="114"/>
  <c r="Q8" i="114"/>
  <c r="E21" i="114"/>
  <c r="C19" i="114"/>
  <c r="I10" i="114"/>
  <c r="F8" i="114"/>
  <c r="E8" i="114"/>
  <c r="D11" i="114"/>
  <c r="D8" i="114"/>
  <c r="D6" i="114"/>
  <c r="K20" i="114"/>
  <c r="N11" i="114"/>
  <c r="J11" i="114"/>
  <c r="N10" i="114"/>
  <c r="N10" i="116"/>
  <c r="K10" i="114"/>
  <c r="N8" i="114"/>
  <c r="M11" i="114"/>
  <c r="I11" i="114"/>
  <c r="I11" i="116"/>
  <c r="I11" i="117"/>
  <c r="M10" i="114"/>
  <c r="M9" i="114"/>
  <c r="M8" i="114"/>
  <c r="L11" i="114"/>
  <c r="H11" i="114"/>
  <c r="H11" i="116"/>
  <c r="L10" i="114"/>
  <c r="H10" i="114"/>
  <c r="L8" i="114"/>
  <c r="H8" i="114"/>
  <c r="H8" i="116"/>
  <c r="H8" i="117"/>
  <c r="L31" i="117"/>
  <c r="L32" i="117"/>
  <c r="L33" i="117"/>
  <c r="L34" i="117"/>
  <c r="L35" i="117"/>
  <c r="L36" i="117"/>
  <c r="L37" i="117"/>
  <c r="L38" i="117"/>
  <c r="L39" i="117"/>
  <c r="J31" i="117"/>
  <c r="J32" i="117"/>
  <c r="J33" i="117"/>
  <c r="J34" i="117"/>
  <c r="J35" i="117"/>
  <c r="J36" i="117"/>
  <c r="J37" i="117"/>
  <c r="J38" i="117"/>
  <c r="J39" i="117"/>
  <c r="K31" i="117"/>
  <c r="K32" i="117"/>
  <c r="K33" i="117"/>
  <c r="K34" i="117"/>
  <c r="K35" i="117"/>
  <c r="K36" i="117"/>
  <c r="K37" i="117"/>
  <c r="K38" i="117"/>
  <c r="K39" i="117"/>
  <c r="M21" i="117"/>
  <c r="E21" i="117"/>
  <c r="K20" i="117"/>
  <c r="C19" i="117"/>
  <c r="H16" i="117"/>
  <c r="H14" i="117"/>
  <c r="G14" i="117"/>
  <c r="R8" i="117"/>
  <c r="K7" i="117"/>
  <c r="J7" i="117"/>
  <c r="H7" i="117"/>
  <c r="E7" i="117"/>
  <c r="I7" i="117"/>
  <c r="L30" i="117"/>
  <c r="L29" i="117"/>
  <c r="L28" i="117"/>
  <c r="L27" i="117"/>
  <c r="J30" i="117"/>
  <c r="J29" i="117"/>
  <c r="J28" i="117"/>
  <c r="K28" i="117"/>
  <c r="K27" i="117"/>
  <c r="K29" i="117"/>
  <c r="K30" i="117"/>
  <c r="F11" i="116"/>
  <c r="F10" i="116"/>
  <c r="F10" i="117"/>
  <c r="D10" i="116"/>
  <c r="D10" i="117"/>
  <c r="F9" i="116"/>
  <c r="D9" i="116"/>
  <c r="D9" i="117"/>
  <c r="M21" i="116"/>
  <c r="E21" i="116"/>
  <c r="K20" i="116"/>
  <c r="C19" i="116"/>
  <c r="H16" i="116"/>
  <c r="H14" i="116"/>
  <c r="G14" i="116"/>
  <c r="R8" i="116"/>
  <c r="K7" i="116"/>
  <c r="J7" i="116"/>
  <c r="H7" i="116"/>
  <c r="E7" i="116"/>
  <c r="F9" i="117"/>
  <c r="M21" i="115"/>
  <c r="E21" i="115"/>
  <c r="K20" i="115"/>
  <c r="C19" i="115"/>
  <c r="H16" i="115"/>
  <c r="H14" i="115"/>
  <c r="G14" i="115"/>
  <c r="R8" i="115"/>
  <c r="K7" i="115"/>
  <c r="J7" i="115"/>
  <c r="H7" i="115"/>
  <c r="E7" i="115"/>
  <c r="M21" i="114"/>
  <c r="M8" i="116"/>
  <c r="M8" i="117"/>
  <c r="M6" i="117"/>
  <c r="M12" i="117"/>
  <c r="K11" i="114"/>
  <c r="H16" i="114"/>
  <c r="H14" i="114"/>
  <c r="G14" i="114"/>
  <c r="E11" i="114"/>
  <c r="E10" i="114"/>
  <c r="N9" i="114"/>
  <c r="J9" i="114"/>
  <c r="J9" i="116"/>
  <c r="J9" i="117"/>
  <c r="L9" i="114"/>
  <c r="H9" i="114"/>
  <c r="E9" i="114"/>
  <c r="C9" i="114"/>
  <c r="R8" i="114"/>
  <c r="K7" i="114"/>
  <c r="J7" i="114"/>
  <c r="H7" i="114"/>
  <c r="E7" i="114"/>
  <c r="I7" i="114"/>
  <c r="E11" i="6"/>
  <c r="K14" i="6"/>
  <c r="D7" i="10"/>
  <c r="G7" i="10"/>
  <c r="H7" i="10"/>
  <c r="K7" i="10"/>
  <c r="L7" i="10"/>
  <c r="D8" i="10"/>
  <c r="B8" i="10"/>
  <c r="G8" i="10"/>
  <c r="G11" i="10"/>
  <c r="H8" i="10"/>
  <c r="K8" i="10"/>
  <c r="L8" i="10"/>
  <c r="D9" i="10"/>
  <c r="B9" i="10"/>
  <c r="G9" i="10"/>
  <c r="H9" i="10"/>
  <c r="F9" i="10"/>
  <c r="K9" i="10"/>
  <c r="L9" i="10"/>
  <c r="D10" i="10"/>
  <c r="B10" i="10"/>
  <c r="G10" i="10"/>
  <c r="H10" i="10"/>
  <c r="K10" i="10"/>
  <c r="K11" i="10"/>
  <c r="L10" i="10"/>
  <c r="C11" i="10"/>
  <c r="E11" i="10"/>
  <c r="I11" i="10"/>
  <c r="O11" i="10"/>
  <c r="O15" i="10"/>
  <c r="G20" i="10"/>
  <c r="G21" i="10"/>
  <c r="G22" i="10"/>
  <c r="F24" i="10"/>
  <c r="O16" i="10"/>
  <c r="D7" i="9"/>
  <c r="B7" i="9"/>
  <c r="G7" i="9"/>
  <c r="H7" i="9"/>
  <c r="F7" i="9"/>
  <c r="K7" i="9"/>
  <c r="L7" i="9"/>
  <c r="D8" i="9"/>
  <c r="B8" i="9"/>
  <c r="G8" i="9"/>
  <c r="H8" i="9"/>
  <c r="K8" i="9"/>
  <c r="J8" i="9"/>
  <c r="L8" i="9"/>
  <c r="D9" i="9"/>
  <c r="G9" i="9"/>
  <c r="H9" i="9"/>
  <c r="K9" i="9"/>
  <c r="L9" i="9"/>
  <c r="D10" i="9"/>
  <c r="G10" i="9"/>
  <c r="H10" i="9"/>
  <c r="K10" i="9"/>
  <c r="L10" i="9"/>
  <c r="C11" i="9"/>
  <c r="E11" i="9"/>
  <c r="I11" i="9"/>
  <c r="O11" i="9"/>
  <c r="O15" i="9"/>
  <c r="G20" i="9"/>
  <c r="G21" i="9"/>
  <c r="F24" i="9"/>
  <c r="O16" i="9"/>
  <c r="D7" i="8"/>
  <c r="G7" i="8"/>
  <c r="H7" i="8"/>
  <c r="F7" i="8"/>
  <c r="K7" i="8"/>
  <c r="L7" i="8"/>
  <c r="D8" i="8"/>
  <c r="B8" i="8"/>
  <c r="G8" i="8"/>
  <c r="H8" i="8"/>
  <c r="K8" i="8"/>
  <c r="L8" i="8"/>
  <c r="D9" i="8"/>
  <c r="G9" i="8"/>
  <c r="H9" i="8"/>
  <c r="K9" i="8"/>
  <c r="L9" i="8"/>
  <c r="D10" i="8"/>
  <c r="B10" i="8"/>
  <c r="G10" i="8"/>
  <c r="H10" i="8"/>
  <c r="K10" i="8"/>
  <c r="J10" i="8"/>
  <c r="L10" i="8"/>
  <c r="C11" i="8"/>
  <c r="E11" i="8"/>
  <c r="I11" i="8"/>
  <c r="O11" i="8"/>
  <c r="O13" i="8"/>
  <c r="O14" i="8"/>
  <c r="O16" i="8"/>
  <c r="O17" i="8"/>
  <c r="G22" i="8"/>
  <c r="D7" i="7"/>
  <c r="B7" i="7"/>
  <c r="G7" i="7"/>
  <c r="H7" i="7"/>
  <c r="K7" i="7"/>
  <c r="L7" i="7"/>
  <c r="J7" i="7"/>
  <c r="D8" i="7"/>
  <c r="B8" i="7"/>
  <c r="G8" i="7"/>
  <c r="H8" i="7"/>
  <c r="K8" i="7"/>
  <c r="L8" i="7"/>
  <c r="D9" i="7"/>
  <c r="G9" i="7"/>
  <c r="H9" i="7"/>
  <c r="K9" i="7"/>
  <c r="K11" i="7"/>
  <c r="L9" i="7"/>
  <c r="D10" i="7"/>
  <c r="B10" i="7"/>
  <c r="G10" i="7"/>
  <c r="H10" i="7"/>
  <c r="K10" i="7"/>
  <c r="L10" i="7"/>
  <c r="C11" i="7"/>
  <c r="E11" i="7"/>
  <c r="I11" i="7"/>
  <c r="O11" i="7"/>
  <c r="O13" i="7"/>
  <c r="O15" i="7"/>
  <c r="D7" i="1"/>
  <c r="G7" i="1"/>
  <c r="C7" i="6"/>
  <c r="C11" i="6"/>
  <c r="H7" i="1"/>
  <c r="D7" i="6"/>
  <c r="D11" i="6"/>
  <c r="K7" i="1"/>
  <c r="G7" i="6"/>
  <c r="L7" i="1"/>
  <c r="H7" i="6"/>
  <c r="H11" i="6"/>
  <c r="D8" i="1"/>
  <c r="B8" i="1"/>
  <c r="G8" i="1"/>
  <c r="H8" i="1"/>
  <c r="K8" i="1"/>
  <c r="G8" i="6"/>
  <c r="F8" i="6"/>
  <c r="L8" i="1"/>
  <c r="D9" i="1"/>
  <c r="G9" i="1"/>
  <c r="C9" i="6"/>
  <c r="H9" i="1"/>
  <c r="D9" i="6"/>
  <c r="K9" i="1"/>
  <c r="G9" i="6"/>
  <c r="F9" i="6"/>
  <c r="L9" i="1"/>
  <c r="H9" i="6"/>
  <c r="K9" i="6"/>
  <c r="H15" i="6"/>
  <c r="D10" i="1"/>
  <c r="B10" i="1"/>
  <c r="G10" i="1"/>
  <c r="C10" i="6"/>
  <c r="H10" i="1"/>
  <c r="K10" i="1"/>
  <c r="L10" i="1"/>
  <c r="C11" i="1"/>
  <c r="E11" i="1"/>
  <c r="I11" i="1"/>
  <c r="O11" i="1"/>
  <c r="O13" i="1"/>
  <c r="O15" i="1"/>
  <c r="F9" i="1"/>
  <c r="J8" i="1"/>
  <c r="D10" i="6"/>
  <c r="B9" i="9"/>
  <c r="J9" i="1"/>
  <c r="J7" i="8"/>
  <c r="K11" i="1"/>
  <c r="J7" i="1"/>
  <c r="G11" i="8"/>
  <c r="B9" i="8"/>
  <c r="G22" i="9"/>
  <c r="G11" i="1"/>
  <c r="F10" i="1"/>
  <c r="J10" i="10"/>
  <c r="B10" i="9"/>
  <c r="F7" i="7"/>
  <c r="K11" i="8"/>
  <c r="H8" i="6"/>
  <c r="K11" i="9"/>
  <c r="J9" i="9"/>
  <c r="F10" i="10"/>
  <c r="C8" i="6"/>
  <c r="B7" i="1"/>
  <c r="J7" i="9"/>
  <c r="B7" i="10"/>
  <c r="D11" i="10"/>
  <c r="B11" i="10"/>
  <c r="F7" i="1"/>
  <c r="F22" i="8"/>
  <c r="F23" i="8"/>
  <c r="O15" i="8"/>
  <c r="C10" i="114"/>
  <c r="L10" i="116"/>
  <c r="L10" i="117"/>
  <c r="M11" i="116"/>
  <c r="M11" i="117"/>
  <c r="L11" i="116"/>
  <c r="K11" i="116"/>
  <c r="M10" i="116"/>
  <c r="M10" i="117"/>
  <c r="L8" i="116"/>
  <c r="G32" i="117"/>
  <c r="M32" i="117"/>
  <c r="C11" i="115"/>
  <c r="Q6" i="115"/>
  <c r="R6" i="115"/>
  <c r="E8" i="116"/>
  <c r="E8" i="117"/>
  <c r="N8" i="116"/>
  <c r="K8" i="116"/>
  <c r="G36" i="117"/>
  <c r="M36" i="117"/>
  <c r="K11" i="115"/>
  <c r="F6" i="115"/>
  <c r="Q6" i="116"/>
  <c r="D8" i="116"/>
  <c r="D8" i="117"/>
  <c r="D6" i="117"/>
  <c r="D12" i="117"/>
  <c r="N11" i="116"/>
  <c r="N11" i="117"/>
  <c r="C7" i="116"/>
  <c r="I7" i="116"/>
  <c r="G7" i="116"/>
  <c r="H36" i="117"/>
  <c r="N36" i="117"/>
  <c r="I28" i="117"/>
  <c r="O28" i="117"/>
  <c r="J11" i="116"/>
  <c r="J11" i="117"/>
  <c r="G31" i="117"/>
  <c r="M31" i="117"/>
  <c r="G30" i="117"/>
  <c r="M30" i="117"/>
  <c r="F10" i="8"/>
  <c r="J10" i="9"/>
  <c r="J9" i="10"/>
  <c r="F7" i="10"/>
  <c r="J8" i="7"/>
  <c r="J9" i="8"/>
  <c r="F8" i="8"/>
  <c r="J10" i="1"/>
  <c r="L11" i="7"/>
  <c r="J11" i="7"/>
  <c r="C7" i="114"/>
  <c r="F9" i="7"/>
  <c r="J9" i="7"/>
  <c r="D11" i="8"/>
  <c r="B11" i="8"/>
  <c r="K8" i="114"/>
  <c r="L6" i="114"/>
  <c r="C8" i="115"/>
  <c r="C9" i="115"/>
  <c r="D6" i="115"/>
  <c r="D12" i="115"/>
  <c r="J6" i="115"/>
  <c r="J12" i="115"/>
  <c r="F11" i="117"/>
  <c r="H29" i="117"/>
  <c r="N29" i="117"/>
  <c r="G33" i="117"/>
  <c r="M33" i="117"/>
  <c r="I34" i="117"/>
  <c r="O34" i="117"/>
  <c r="I31" i="117"/>
  <c r="O31" i="117"/>
  <c r="F10" i="9"/>
  <c r="F8" i="10"/>
  <c r="J7" i="10"/>
  <c r="Q7" i="116"/>
  <c r="G7" i="114"/>
  <c r="B7" i="114"/>
  <c r="N6" i="115"/>
  <c r="N12" i="115"/>
  <c r="G10" i="6"/>
  <c r="J10" i="6"/>
  <c r="B7" i="8"/>
  <c r="H11" i="10"/>
  <c r="F11" i="10"/>
  <c r="Q7" i="115"/>
  <c r="R7" i="115"/>
  <c r="R9" i="115"/>
  <c r="I35" i="117"/>
  <c r="O35" i="117"/>
  <c r="G7" i="117"/>
  <c r="I32" i="117"/>
  <c r="O32" i="117"/>
  <c r="L11" i="9"/>
  <c r="M6" i="115"/>
  <c r="M12" i="115"/>
  <c r="I29" i="117"/>
  <c r="O29" i="117"/>
  <c r="I30" i="117"/>
  <c r="O30" i="117"/>
  <c r="E11" i="116"/>
  <c r="E11" i="117"/>
  <c r="I38" i="117"/>
  <c r="O38" i="117"/>
  <c r="C7" i="115"/>
  <c r="B7" i="115"/>
  <c r="I7" i="115"/>
  <c r="I33" i="117"/>
  <c r="O33" i="117"/>
  <c r="I37" i="117"/>
  <c r="O37" i="117"/>
  <c r="I36" i="117"/>
  <c r="O36" i="117"/>
  <c r="D11" i="9"/>
  <c r="B11" i="9"/>
  <c r="L9" i="116"/>
  <c r="L9" i="117"/>
  <c r="H10" i="116"/>
  <c r="H10" i="117"/>
  <c r="E10" i="116"/>
  <c r="N9" i="116"/>
  <c r="N9" i="117"/>
  <c r="E9" i="116"/>
  <c r="E9" i="117"/>
  <c r="C7" i="117"/>
  <c r="B7" i="117"/>
  <c r="L12" i="114"/>
  <c r="I10" i="116"/>
  <c r="I10" i="117"/>
  <c r="H9" i="116"/>
  <c r="H9" i="117"/>
  <c r="K9" i="115"/>
  <c r="G35" i="117"/>
  <c r="M35" i="117"/>
  <c r="K10" i="115"/>
  <c r="H28" i="117"/>
  <c r="N28" i="117"/>
  <c r="G37" i="117"/>
  <c r="M37" i="117"/>
  <c r="E6" i="115"/>
  <c r="C10" i="115"/>
  <c r="L6" i="115"/>
  <c r="K8" i="115"/>
  <c r="G7" i="115"/>
  <c r="I6" i="115"/>
  <c r="I12" i="115"/>
  <c r="H30" i="117"/>
  <c r="N30" i="117"/>
  <c r="G28" i="117"/>
  <c r="M28" i="117"/>
  <c r="G8" i="115"/>
  <c r="B8" i="115"/>
  <c r="H37" i="117"/>
  <c r="N37" i="117"/>
  <c r="G29" i="117"/>
  <c r="M29" i="117"/>
  <c r="H34" i="117"/>
  <c r="N34" i="117"/>
  <c r="G9" i="115"/>
  <c r="B9" i="115"/>
  <c r="H6" i="115"/>
  <c r="H31" i="117"/>
  <c r="N31" i="117"/>
  <c r="G10" i="115"/>
  <c r="G12" i="115"/>
  <c r="G34" i="117"/>
  <c r="M34" i="117"/>
  <c r="H35" i="117"/>
  <c r="N35" i="117"/>
  <c r="H33" i="117"/>
  <c r="N33" i="117"/>
  <c r="G38" i="117"/>
  <c r="M38" i="117"/>
  <c r="G11" i="115"/>
  <c r="B11" i="115"/>
  <c r="E12" i="115"/>
  <c r="H32" i="117"/>
  <c r="N32" i="117"/>
  <c r="H38" i="117"/>
  <c r="N38" i="117"/>
  <c r="H12" i="115"/>
  <c r="G6" i="115"/>
  <c r="I16" i="115"/>
  <c r="C8" i="118"/>
  <c r="C10" i="118"/>
  <c r="I11" i="119"/>
  <c r="I10" i="119"/>
  <c r="B10" i="119"/>
  <c r="I9" i="119"/>
  <c r="I6" i="119"/>
  <c r="H6" i="116"/>
  <c r="D12" i="114"/>
  <c r="L6" i="119"/>
  <c r="L12" i="119"/>
  <c r="I8" i="118"/>
  <c r="D11" i="116"/>
  <c r="D11" i="117"/>
  <c r="C11" i="114"/>
  <c r="H10" i="118"/>
  <c r="I7" i="119"/>
  <c r="M6" i="119"/>
  <c r="M12" i="119"/>
  <c r="E6" i="119"/>
  <c r="E12" i="119"/>
  <c r="K10" i="119"/>
  <c r="H6" i="119"/>
  <c r="H12" i="119"/>
  <c r="G7" i="119"/>
  <c r="B7" i="119"/>
  <c r="B7" i="120"/>
  <c r="D6" i="120"/>
  <c r="D12" i="120"/>
  <c r="C9" i="120"/>
  <c r="C10" i="120"/>
  <c r="E6" i="120"/>
  <c r="E12" i="120"/>
  <c r="M6" i="120"/>
  <c r="M12" i="120"/>
  <c r="C6" i="120"/>
  <c r="K10" i="121"/>
  <c r="K9" i="121"/>
  <c r="M6" i="121"/>
  <c r="M12" i="121"/>
  <c r="D12" i="121"/>
  <c r="L12" i="121"/>
  <c r="F6" i="121"/>
  <c r="F12" i="121"/>
  <c r="K8" i="121"/>
  <c r="K10" i="122"/>
  <c r="L6" i="122"/>
  <c r="L12" i="122"/>
  <c r="D12" i="122"/>
  <c r="C8" i="122"/>
  <c r="E6" i="122"/>
  <c r="E12" i="122"/>
  <c r="K8" i="122"/>
  <c r="K12" i="122"/>
  <c r="M6" i="122"/>
  <c r="M12" i="122"/>
  <c r="G11" i="122"/>
  <c r="B11" i="122"/>
  <c r="C9" i="122"/>
  <c r="C10" i="122"/>
  <c r="L6" i="123"/>
  <c r="L12" i="123"/>
  <c r="K11" i="123"/>
  <c r="K10" i="123"/>
  <c r="E6" i="123"/>
  <c r="E12" i="123"/>
  <c r="M6" i="123"/>
  <c r="C9" i="123"/>
  <c r="C10" i="123"/>
  <c r="C8" i="123"/>
  <c r="G8" i="123"/>
  <c r="B8" i="123"/>
  <c r="K8" i="123"/>
  <c r="I11" i="124"/>
  <c r="I6" i="124"/>
  <c r="I12" i="124"/>
  <c r="K10" i="124"/>
  <c r="Q8" i="124"/>
  <c r="L6" i="124"/>
  <c r="L12" i="124"/>
  <c r="G9" i="124"/>
  <c r="B9" i="124"/>
  <c r="C8" i="124"/>
  <c r="E6" i="124"/>
  <c r="E12" i="124"/>
  <c r="K8" i="124"/>
  <c r="M6" i="124"/>
  <c r="M12" i="124"/>
  <c r="C9" i="124"/>
  <c r="C10" i="124"/>
  <c r="J7" i="6"/>
  <c r="B10" i="124"/>
  <c r="J8" i="125"/>
  <c r="K9" i="125"/>
  <c r="N6" i="125"/>
  <c r="N12" i="125"/>
  <c r="K10" i="125"/>
  <c r="B10" i="125"/>
  <c r="N8" i="117"/>
  <c r="N6" i="117"/>
  <c r="N12" i="117"/>
  <c r="M6" i="125"/>
  <c r="M12" i="125"/>
  <c r="C9" i="125"/>
  <c r="C10" i="125"/>
  <c r="L12" i="125"/>
  <c r="G10" i="125"/>
  <c r="B9" i="6"/>
  <c r="K8" i="125"/>
  <c r="D6" i="116"/>
  <c r="D12" i="116"/>
  <c r="G9" i="125"/>
  <c r="B9" i="125"/>
  <c r="K6" i="125"/>
  <c r="K19" i="125"/>
  <c r="K21" i="125"/>
  <c r="K23" i="125"/>
  <c r="K24" i="125"/>
  <c r="K11" i="126"/>
  <c r="B11" i="126"/>
  <c r="L6" i="126"/>
  <c r="L12" i="126"/>
  <c r="K10" i="126"/>
  <c r="L8" i="117"/>
  <c r="L6" i="117"/>
  <c r="L12" i="117"/>
  <c r="D12" i="126"/>
  <c r="M6" i="126"/>
  <c r="M12" i="126"/>
  <c r="C9" i="126"/>
  <c r="C10" i="126"/>
  <c r="K8" i="127"/>
  <c r="J11" i="127"/>
  <c r="N6" i="127"/>
  <c r="N12" i="127"/>
  <c r="K9" i="127"/>
  <c r="B7" i="127"/>
  <c r="D6" i="127"/>
  <c r="K10" i="127"/>
  <c r="H12" i="116"/>
  <c r="B10" i="6"/>
  <c r="C9" i="127"/>
  <c r="C10" i="127"/>
  <c r="F7" i="6"/>
  <c r="C8" i="127"/>
  <c r="D8" i="6"/>
  <c r="K8" i="6"/>
  <c r="H11" i="1"/>
  <c r="F8" i="1"/>
  <c r="L6" i="127"/>
  <c r="G11" i="126"/>
  <c r="M12" i="123"/>
  <c r="K6" i="115"/>
  <c r="L12" i="115"/>
  <c r="J11" i="9"/>
  <c r="B9" i="1"/>
  <c r="D11" i="1"/>
  <c r="B11" i="1"/>
  <c r="F10" i="7"/>
  <c r="G11" i="7"/>
  <c r="F11" i="7"/>
  <c r="N11" i="7"/>
  <c r="O12" i="7"/>
  <c r="D12" i="127"/>
  <c r="L11" i="8"/>
  <c r="J11" i="8"/>
  <c r="J8" i="8"/>
  <c r="J8" i="10"/>
  <c r="L11" i="10"/>
  <c r="J11" i="10"/>
  <c r="N11" i="10"/>
  <c r="O12" i="10"/>
  <c r="O19" i="10"/>
  <c r="H11" i="127"/>
  <c r="K11" i="127"/>
  <c r="B6" i="115"/>
  <c r="B12" i="115"/>
  <c r="B10" i="115"/>
  <c r="F12" i="115"/>
  <c r="C6" i="115"/>
  <c r="G11" i="114"/>
  <c r="B11" i="114"/>
  <c r="H6" i="114"/>
  <c r="H11" i="117"/>
  <c r="F6" i="114"/>
  <c r="F8" i="116"/>
  <c r="F8" i="117"/>
  <c r="F6" i="117"/>
  <c r="C11" i="124"/>
  <c r="F6" i="126"/>
  <c r="F12" i="126"/>
  <c r="J8" i="126"/>
  <c r="B8" i="124"/>
  <c r="H10" i="6"/>
  <c r="K10" i="6"/>
  <c r="L10" i="6"/>
  <c r="L11" i="1"/>
  <c r="J11" i="1"/>
  <c r="L12" i="118"/>
  <c r="J9" i="119"/>
  <c r="G9" i="119"/>
  <c r="B9" i="119"/>
  <c r="K9" i="119"/>
  <c r="N6" i="119"/>
  <c r="N12" i="119"/>
  <c r="L12" i="120"/>
  <c r="K8" i="120"/>
  <c r="I8" i="120"/>
  <c r="E6" i="118"/>
  <c r="E12" i="118"/>
  <c r="C9" i="118"/>
  <c r="G9" i="121"/>
  <c r="B9" i="121"/>
  <c r="J9" i="123"/>
  <c r="K9" i="123"/>
  <c r="N6" i="123"/>
  <c r="K6" i="123"/>
  <c r="K19" i="123"/>
  <c r="N12" i="123"/>
  <c r="F11" i="1"/>
  <c r="N11" i="1"/>
  <c r="O12" i="1"/>
  <c r="F8" i="7"/>
  <c r="H11" i="7"/>
  <c r="F9" i="8"/>
  <c r="H11" i="8"/>
  <c r="F11" i="8"/>
  <c r="N11" i="8"/>
  <c r="O12" i="8"/>
  <c r="O19" i="8"/>
  <c r="J8" i="114"/>
  <c r="D6" i="119"/>
  <c r="I10" i="120"/>
  <c r="J8" i="121"/>
  <c r="J6" i="121"/>
  <c r="J12" i="121"/>
  <c r="H11" i="124"/>
  <c r="M6" i="127"/>
  <c r="M12" i="127"/>
  <c r="I8" i="127"/>
  <c r="I6" i="127"/>
  <c r="I12" i="127"/>
  <c r="J10" i="7"/>
  <c r="B9" i="7"/>
  <c r="D11" i="7"/>
  <c r="B11" i="7"/>
  <c r="G11" i="9"/>
  <c r="F8" i="9"/>
  <c r="J27" i="117"/>
  <c r="I9" i="114"/>
  <c r="M9" i="116"/>
  <c r="M6" i="114"/>
  <c r="K9" i="114"/>
  <c r="J10" i="114"/>
  <c r="K11" i="121"/>
  <c r="N6" i="122"/>
  <c r="K6" i="122"/>
  <c r="I8" i="125"/>
  <c r="K9" i="126"/>
  <c r="H9" i="126"/>
  <c r="F9" i="9"/>
  <c r="H11" i="9"/>
  <c r="F22" i="10"/>
  <c r="F23" i="10"/>
  <c r="F25" i="10"/>
  <c r="O14" i="10"/>
  <c r="I9" i="118"/>
  <c r="I11" i="118"/>
  <c r="I9" i="120"/>
  <c r="B7" i="121"/>
  <c r="H8" i="121"/>
  <c r="G11" i="123"/>
  <c r="B11" i="123"/>
  <c r="B7" i="124"/>
  <c r="H9" i="118"/>
  <c r="K9" i="120"/>
  <c r="H10" i="120"/>
  <c r="I11" i="120"/>
  <c r="H11" i="121"/>
  <c r="G11" i="121"/>
  <c r="E6" i="127"/>
  <c r="E12" i="127"/>
  <c r="K11" i="125"/>
  <c r="K12" i="125"/>
  <c r="N12" i="122"/>
  <c r="F22" i="9"/>
  <c r="F23" i="9"/>
  <c r="F25" i="9"/>
  <c r="O14" i="9"/>
  <c r="F11" i="9"/>
  <c r="M11" i="9"/>
  <c r="N11" i="9"/>
  <c r="O12" i="9"/>
  <c r="O19" i="9"/>
  <c r="J10" i="116"/>
  <c r="J10" i="117"/>
  <c r="G10" i="114"/>
  <c r="B10" i="114"/>
  <c r="G9" i="114"/>
  <c r="B9" i="114"/>
  <c r="I9" i="116"/>
  <c r="I9" i="117"/>
  <c r="M11" i="7"/>
  <c r="F12" i="114"/>
  <c r="C12" i="115"/>
  <c r="C20" i="115"/>
  <c r="C21" i="115"/>
  <c r="C22" i="115"/>
  <c r="P6" i="115"/>
  <c r="G8" i="125"/>
  <c r="I6" i="125"/>
  <c r="M12" i="114"/>
  <c r="D12" i="119"/>
  <c r="C6" i="119"/>
  <c r="M9" i="117"/>
  <c r="K6" i="119"/>
  <c r="M11" i="8"/>
  <c r="G9" i="118"/>
  <c r="B9" i="118"/>
  <c r="H6" i="121"/>
  <c r="H6" i="126"/>
  <c r="G9" i="126"/>
  <c r="B9" i="126"/>
  <c r="G9" i="123"/>
  <c r="B9" i="123"/>
  <c r="B6" i="123"/>
  <c r="B12" i="123"/>
  <c r="H6" i="124"/>
  <c r="J6" i="114"/>
  <c r="J12" i="114"/>
  <c r="J8" i="116"/>
  <c r="J6" i="116"/>
  <c r="J12" i="116"/>
  <c r="C6" i="124"/>
  <c r="C21" i="124"/>
  <c r="M11" i="10"/>
  <c r="M12" i="10"/>
  <c r="G11" i="127"/>
  <c r="M11" i="1"/>
  <c r="L12" i="127"/>
  <c r="K6" i="127"/>
  <c r="K19" i="127"/>
  <c r="K21" i="127"/>
  <c r="K23" i="127"/>
  <c r="K24" i="127"/>
  <c r="G39" i="117"/>
  <c r="M39" i="117"/>
  <c r="H12" i="114"/>
  <c r="I12" i="119"/>
  <c r="K19" i="115"/>
  <c r="K21" i="115"/>
  <c r="K23" i="115"/>
  <c r="K24" i="115"/>
  <c r="K12" i="115"/>
  <c r="C12" i="119"/>
  <c r="H12" i="121"/>
  <c r="I12" i="125"/>
  <c r="C12" i="124"/>
  <c r="C22" i="124"/>
  <c r="M12" i="9"/>
  <c r="K19" i="122"/>
  <c r="K21" i="122"/>
  <c r="K23" i="122"/>
  <c r="K24" i="122"/>
  <c r="H12" i="126"/>
  <c r="K19" i="119"/>
  <c r="K21" i="119"/>
  <c r="K23" i="119"/>
  <c r="K24" i="119"/>
  <c r="K12" i="123"/>
  <c r="K21" i="123"/>
  <c r="K23" i="123"/>
  <c r="K24" i="123"/>
  <c r="G10" i="127"/>
  <c r="B10" i="127"/>
  <c r="K12" i="127"/>
  <c r="E6" i="128"/>
  <c r="E12" i="128"/>
  <c r="M6" i="128"/>
  <c r="M12" i="128"/>
  <c r="C9" i="128"/>
  <c r="C10" i="128"/>
  <c r="D12" i="128"/>
  <c r="H6" i="117"/>
  <c r="E6" i="117"/>
  <c r="E12" i="117"/>
  <c r="L6" i="116"/>
  <c r="L12" i="116"/>
  <c r="M6" i="116"/>
  <c r="M12" i="116"/>
  <c r="G10" i="116"/>
  <c r="C9" i="116"/>
  <c r="R9" i="128"/>
  <c r="K11" i="6"/>
  <c r="H16" i="6"/>
  <c r="G11" i="117"/>
  <c r="C10" i="116"/>
  <c r="F10" i="6"/>
  <c r="C8" i="117"/>
  <c r="C9" i="117"/>
  <c r="K8" i="117"/>
  <c r="C11" i="116"/>
  <c r="Q8" i="116"/>
  <c r="J8" i="6"/>
  <c r="L8" i="6"/>
  <c r="D16" i="6"/>
  <c r="B7" i="6"/>
  <c r="J9" i="6"/>
  <c r="G11" i="116"/>
  <c r="L7" i="6"/>
  <c r="C11" i="117"/>
  <c r="K9" i="117"/>
  <c r="B7" i="116"/>
  <c r="N6" i="116"/>
  <c r="N12" i="116"/>
  <c r="K7" i="6"/>
  <c r="D13" i="6"/>
  <c r="F12" i="117"/>
  <c r="B11" i="6"/>
  <c r="G9" i="117"/>
  <c r="B9" i="117"/>
  <c r="L9" i="6"/>
  <c r="D15" i="6"/>
  <c r="Q6" i="117"/>
  <c r="B8" i="6"/>
  <c r="C6" i="117"/>
  <c r="G27" i="117"/>
  <c r="M27" i="117"/>
  <c r="B11" i="116"/>
  <c r="E6" i="116"/>
  <c r="E10" i="117"/>
  <c r="C10" i="117"/>
  <c r="K6" i="116"/>
  <c r="K12" i="116"/>
  <c r="J8" i="117"/>
  <c r="J6" i="117"/>
  <c r="J12" i="117"/>
  <c r="D14" i="6"/>
  <c r="Q7" i="117"/>
  <c r="Q8" i="115"/>
  <c r="F6" i="116"/>
  <c r="F12" i="116"/>
  <c r="C8" i="116"/>
  <c r="K9" i="116"/>
  <c r="G9" i="116"/>
  <c r="B9" i="116"/>
  <c r="L11" i="117"/>
  <c r="K11" i="117"/>
  <c r="B11" i="117"/>
  <c r="G11" i="6"/>
  <c r="F11" i="6"/>
  <c r="B11" i="127"/>
  <c r="H12" i="125"/>
  <c r="J10" i="120"/>
  <c r="G10" i="120"/>
  <c r="B10" i="120"/>
  <c r="N6" i="120"/>
  <c r="K10" i="120"/>
  <c r="G11" i="120"/>
  <c r="C6" i="123"/>
  <c r="D12" i="123"/>
  <c r="J11" i="124"/>
  <c r="J6" i="124"/>
  <c r="J12" i="124"/>
  <c r="K11" i="124"/>
  <c r="D12" i="125"/>
  <c r="B11" i="125"/>
  <c r="J10" i="126"/>
  <c r="N6" i="126"/>
  <c r="H6" i="122"/>
  <c r="C20" i="117"/>
  <c r="C20" i="119"/>
  <c r="K6" i="117"/>
  <c r="H12" i="124"/>
  <c r="C6" i="127"/>
  <c r="J6" i="125"/>
  <c r="J12" i="125"/>
  <c r="G10" i="117"/>
  <c r="G11" i="124"/>
  <c r="K19" i="116"/>
  <c r="K21" i="116"/>
  <c r="K23" i="116"/>
  <c r="K24" i="116"/>
  <c r="B11" i="124"/>
  <c r="B6" i="124"/>
  <c r="B12" i="124"/>
  <c r="H12" i="117"/>
  <c r="C20" i="124"/>
  <c r="C24" i="124"/>
  <c r="C21" i="119"/>
  <c r="C22" i="119"/>
  <c r="I6" i="120"/>
  <c r="I12" i="120"/>
  <c r="N6" i="124"/>
  <c r="N6" i="118"/>
  <c r="K8" i="118"/>
  <c r="I6" i="118"/>
  <c r="I12" i="118"/>
  <c r="G8" i="118"/>
  <c r="B8" i="118"/>
  <c r="C8" i="120"/>
  <c r="N12" i="121"/>
  <c r="K6" i="121"/>
  <c r="B11" i="121"/>
  <c r="J8" i="122"/>
  <c r="J6" i="122"/>
  <c r="J12" i="122"/>
  <c r="F6" i="122"/>
  <c r="E6" i="126"/>
  <c r="C8" i="126"/>
  <c r="I8" i="126"/>
  <c r="C21" i="120"/>
  <c r="C22" i="120"/>
  <c r="I8" i="114"/>
  <c r="E6" i="114"/>
  <c r="K10" i="118"/>
  <c r="J10" i="118"/>
  <c r="G10" i="118"/>
  <c r="B10" i="118"/>
  <c r="G9" i="120"/>
  <c r="B9" i="120"/>
  <c r="B11" i="120"/>
  <c r="B10" i="122"/>
  <c r="G8" i="127"/>
  <c r="B8" i="127"/>
  <c r="B6" i="127"/>
  <c r="B12" i="127"/>
  <c r="J6" i="127"/>
  <c r="J12" i="127"/>
  <c r="C20" i="120"/>
  <c r="C8" i="114"/>
  <c r="K10" i="116"/>
  <c r="B10" i="116"/>
  <c r="N10" i="117"/>
  <c r="K10" i="117"/>
  <c r="D6" i="118"/>
  <c r="H11" i="118"/>
  <c r="G11" i="118"/>
  <c r="B11" i="118"/>
  <c r="J8" i="119"/>
  <c r="J6" i="119"/>
  <c r="K8" i="119"/>
  <c r="K12" i="119"/>
  <c r="G10" i="121"/>
  <c r="B10" i="121"/>
  <c r="E6" i="121"/>
  <c r="I8" i="121"/>
  <c r="C8" i="121"/>
  <c r="I6" i="122"/>
  <c r="I12" i="122"/>
  <c r="J6" i="123"/>
  <c r="F6" i="125"/>
  <c r="F12" i="125"/>
  <c r="C8" i="125"/>
  <c r="B8" i="125"/>
  <c r="B6" i="125"/>
  <c r="B12" i="125"/>
  <c r="H8" i="120"/>
  <c r="N6" i="114"/>
  <c r="L6" i="128"/>
  <c r="L12" i="128"/>
  <c r="K9" i="128"/>
  <c r="Q8" i="117"/>
  <c r="C21" i="117"/>
  <c r="C22" i="117"/>
  <c r="C12" i="117"/>
  <c r="E12" i="116"/>
  <c r="C6" i="116"/>
  <c r="J11" i="6"/>
  <c r="I27" i="117"/>
  <c r="O27" i="117"/>
  <c r="B6" i="118"/>
  <c r="B12" i="118"/>
  <c r="I6" i="121"/>
  <c r="G8" i="121"/>
  <c r="B8" i="121"/>
  <c r="B6" i="121"/>
  <c r="B12" i="121"/>
  <c r="K6" i="114"/>
  <c r="N12" i="114"/>
  <c r="I39" i="117"/>
  <c r="O39" i="117"/>
  <c r="G6" i="123"/>
  <c r="J12" i="123"/>
  <c r="E12" i="121"/>
  <c r="C6" i="121"/>
  <c r="B8" i="114"/>
  <c r="B6" i="114"/>
  <c r="B12" i="114"/>
  <c r="C6" i="126"/>
  <c r="E12" i="126"/>
  <c r="H6" i="118"/>
  <c r="C20" i="127"/>
  <c r="C21" i="127"/>
  <c r="C22" i="127"/>
  <c r="P6" i="127"/>
  <c r="C12" i="127"/>
  <c r="C24" i="119"/>
  <c r="G10" i="126"/>
  <c r="B10" i="126"/>
  <c r="J6" i="126"/>
  <c r="J12" i="126"/>
  <c r="G8" i="119"/>
  <c r="B8" i="119"/>
  <c r="B6" i="119"/>
  <c r="B12" i="119"/>
  <c r="J6" i="120"/>
  <c r="J12" i="120"/>
  <c r="J12" i="119"/>
  <c r="G6" i="119"/>
  <c r="H6" i="120"/>
  <c r="G8" i="120"/>
  <c r="D12" i="118"/>
  <c r="C6" i="118"/>
  <c r="C24" i="120"/>
  <c r="C6" i="114"/>
  <c r="H39" i="117"/>
  <c r="N39" i="117"/>
  <c r="E12" i="114"/>
  <c r="K12" i="121"/>
  <c r="K19" i="121"/>
  <c r="K21" i="121"/>
  <c r="K23" i="121"/>
  <c r="K24" i="121"/>
  <c r="N12" i="118"/>
  <c r="K6" i="118"/>
  <c r="J6" i="118"/>
  <c r="J12" i="118"/>
  <c r="G8" i="122"/>
  <c r="B8" i="122"/>
  <c r="B6" i="122"/>
  <c r="B12" i="122"/>
  <c r="I6" i="114"/>
  <c r="I8" i="116"/>
  <c r="G8" i="114"/>
  <c r="I6" i="126"/>
  <c r="G8" i="126"/>
  <c r="C6" i="122"/>
  <c r="F12" i="122"/>
  <c r="B10" i="117"/>
  <c r="G6" i="122"/>
  <c r="H12" i="122"/>
  <c r="N12" i="120"/>
  <c r="K6" i="120"/>
  <c r="G6" i="124"/>
  <c r="G6" i="125"/>
  <c r="G6" i="127"/>
  <c r="B8" i="126"/>
  <c r="B6" i="126"/>
  <c r="B12" i="126"/>
  <c r="B8" i="120"/>
  <c r="B6" i="120"/>
  <c r="B12" i="120"/>
  <c r="C12" i="120"/>
  <c r="K6" i="124"/>
  <c r="N12" i="124"/>
  <c r="K19" i="117"/>
  <c r="K21" i="117"/>
  <c r="K23" i="117"/>
  <c r="K24" i="117"/>
  <c r="K12" i="117"/>
  <c r="K6" i="126"/>
  <c r="N12" i="126"/>
  <c r="C6" i="125"/>
  <c r="C21" i="123"/>
  <c r="C22" i="123"/>
  <c r="C20" i="123"/>
  <c r="C12" i="123"/>
  <c r="L11" i="6"/>
  <c r="K12" i="6"/>
  <c r="K17" i="6"/>
  <c r="C21" i="116"/>
  <c r="C22" i="116"/>
  <c r="C20" i="116"/>
  <c r="C12" i="116"/>
  <c r="C24" i="127"/>
  <c r="G12" i="125"/>
  <c r="I16" i="125"/>
  <c r="C12" i="122"/>
  <c r="C21" i="122"/>
  <c r="C22" i="122"/>
  <c r="C20" i="122"/>
  <c r="P6" i="122"/>
  <c r="H12" i="120"/>
  <c r="G6" i="120"/>
  <c r="C24" i="123"/>
  <c r="K19" i="120"/>
  <c r="K21" i="120"/>
  <c r="K23" i="120"/>
  <c r="K24" i="120"/>
  <c r="K12" i="120"/>
  <c r="I12" i="126"/>
  <c r="G6" i="126"/>
  <c r="R6" i="127"/>
  <c r="R7" i="127"/>
  <c r="R9" i="127"/>
  <c r="K12" i="126"/>
  <c r="K19" i="126"/>
  <c r="K21" i="126"/>
  <c r="K23" i="126"/>
  <c r="K24" i="126"/>
  <c r="K19" i="124"/>
  <c r="K21" i="124"/>
  <c r="K23" i="124"/>
  <c r="K24" i="124"/>
  <c r="K12" i="124"/>
  <c r="I16" i="127"/>
  <c r="G12" i="127"/>
  <c r="C12" i="114"/>
  <c r="C21" i="114"/>
  <c r="C22" i="114"/>
  <c r="C20" i="114"/>
  <c r="P6" i="114"/>
  <c r="C12" i="126"/>
  <c r="C22" i="126"/>
  <c r="C20" i="126"/>
  <c r="C21" i="126"/>
  <c r="K12" i="114"/>
  <c r="K19" i="114"/>
  <c r="K21" i="114"/>
  <c r="K23" i="114"/>
  <c r="K24" i="114"/>
  <c r="I8" i="117"/>
  <c r="G8" i="116"/>
  <c r="B8" i="116"/>
  <c r="B6" i="116"/>
  <c r="B12" i="116"/>
  <c r="I6" i="116"/>
  <c r="G12" i="123"/>
  <c r="I16" i="123"/>
  <c r="P6" i="123"/>
  <c r="C21" i="125"/>
  <c r="C12" i="125"/>
  <c r="C22" i="125"/>
  <c r="C20" i="125"/>
  <c r="P6" i="125"/>
  <c r="G12" i="124"/>
  <c r="I16" i="124"/>
  <c r="P6" i="124"/>
  <c r="I16" i="122"/>
  <c r="G12" i="122"/>
  <c r="I12" i="114"/>
  <c r="G6" i="114"/>
  <c r="K19" i="118"/>
  <c r="K21" i="118"/>
  <c r="K23" i="118"/>
  <c r="K24" i="118"/>
  <c r="K12" i="118"/>
  <c r="C12" i="118"/>
  <c r="C21" i="118"/>
  <c r="C22" i="118"/>
  <c r="C20" i="118"/>
  <c r="G12" i="119"/>
  <c r="I16" i="119"/>
  <c r="P6" i="119"/>
  <c r="G6" i="118"/>
  <c r="H12" i="118"/>
  <c r="C20" i="121"/>
  <c r="C12" i="121"/>
  <c r="C21" i="121"/>
  <c r="C22" i="121"/>
  <c r="I12" i="121"/>
  <c r="G6" i="121"/>
  <c r="P6" i="121"/>
  <c r="R7" i="121"/>
  <c r="R9" i="121"/>
  <c r="R6" i="121"/>
  <c r="C24" i="121"/>
  <c r="I16" i="114"/>
  <c r="G12" i="114"/>
  <c r="R6" i="124"/>
  <c r="R7" i="124"/>
  <c r="R9" i="124"/>
  <c r="C24" i="125"/>
  <c r="R6" i="123"/>
  <c r="R7" i="123"/>
  <c r="R9" i="123"/>
  <c r="G12" i="121"/>
  <c r="I16" i="121"/>
  <c r="G12" i="118"/>
  <c r="I16" i="118"/>
  <c r="C24" i="118"/>
  <c r="P6" i="118"/>
  <c r="I6" i="117"/>
  <c r="G8" i="117"/>
  <c r="B8" i="117"/>
  <c r="B6" i="117"/>
  <c r="B12" i="117"/>
  <c r="C24" i="126"/>
  <c r="R6" i="114"/>
  <c r="R7" i="114"/>
  <c r="R9" i="114"/>
  <c r="R7" i="122"/>
  <c r="R9" i="122"/>
  <c r="R6" i="122"/>
  <c r="R6" i="119"/>
  <c r="R7" i="119"/>
  <c r="R9" i="119"/>
  <c r="G12" i="126"/>
  <c r="I16" i="126"/>
  <c r="C24" i="122"/>
  <c r="R6" i="125"/>
  <c r="R7" i="125"/>
  <c r="R9" i="125"/>
  <c r="I12" i="116"/>
  <c r="G6" i="116"/>
  <c r="P6" i="126"/>
  <c r="G12" i="120"/>
  <c r="P6" i="120"/>
  <c r="I16" i="120"/>
  <c r="R7" i="126"/>
  <c r="R9" i="126"/>
  <c r="R6" i="126"/>
  <c r="G12" i="116"/>
  <c r="I16" i="116"/>
  <c r="P6" i="116"/>
  <c r="R6" i="118"/>
  <c r="R7" i="118"/>
  <c r="R9" i="118"/>
  <c r="R6" i="120"/>
  <c r="R7" i="120"/>
  <c r="R9" i="120"/>
  <c r="I12" i="117"/>
  <c r="H27" i="117"/>
  <c r="N27" i="117"/>
  <c r="G6" i="117"/>
  <c r="I16" i="117"/>
  <c r="G12" i="117"/>
  <c r="P6" i="117"/>
  <c r="R6" i="116"/>
  <c r="R7" i="116"/>
  <c r="R9" i="116"/>
  <c r="R6" i="117"/>
  <c r="R7" i="117"/>
  <c r="R9" i="117"/>
  <c r="N10" i="128"/>
  <c r="K10" i="128"/>
  <c r="F8" i="128"/>
  <c r="N11" i="128"/>
  <c r="N8" i="128"/>
  <c r="F6" i="128"/>
  <c r="C8" i="128"/>
  <c r="K11" i="128"/>
  <c r="K8" i="128"/>
  <c r="N6" i="128"/>
  <c r="F12" i="128"/>
  <c r="C6" i="128"/>
  <c r="K6" i="128"/>
  <c r="K19" i="128"/>
  <c r="N12" i="128"/>
  <c r="C21" i="128"/>
  <c r="C22" i="128"/>
  <c r="C20" i="128"/>
  <c r="C24" i="128" s="1"/>
  <c r="C12" i="128"/>
  <c r="K21" i="128"/>
  <c r="K24" i="128" s="1"/>
  <c r="K25" i="128" s="1"/>
  <c r="K12" i="128"/>
  <c r="J9" i="128"/>
  <c r="J10" i="128"/>
  <c r="J8" i="128"/>
  <c r="J11" i="128"/>
  <c r="J6" i="128"/>
  <c r="J12" i="128"/>
  <c r="I8" i="128"/>
  <c r="I9" i="128"/>
  <c r="I11" i="128"/>
  <c r="I10" i="128"/>
  <c r="I6" i="128"/>
  <c r="I12" i="128"/>
  <c r="Q6" i="128"/>
  <c r="H8" i="128"/>
  <c r="H11" i="128"/>
  <c r="G11" i="128"/>
  <c r="B11" i="128"/>
  <c r="H10" i="128"/>
  <c r="G10" i="128"/>
  <c r="B10" i="128"/>
  <c r="G8" i="128"/>
  <c r="B8" i="128"/>
  <c r="H9" i="128"/>
  <c r="G9" i="128"/>
  <c r="B9" i="128"/>
  <c r="B6" i="128"/>
  <c r="B12" i="128"/>
  <c r="H6" i="128"/>
  <c r="H12" i="128"/>
  <c r="G6" i="128"/>
  <c r="G12" i="128"/>
  <c r="P6" i="128"/>
  <c r="R6" i="128"/>
  <c r="N21" i="128"/>
</calcChain>
</file>

<file path=xl/comments1.xml><?xml version="1.0" encoding="utf-8"?>
<comments xmlns="http://schemas.openxmlformats.org/spreadsheetml/2006/main">
  <authors>
    <author>Vvolkova</author>
  </authors>
  <commentList>
    <comment ref="G20" authorId="0" shapeId="0">
      <text>
        <r>
          <rPr>
            <b/>
            <sz val="8"/>
            <color indexed="81"/>
            <rFont val="Tahoma"/>
            <family val="2"/>
            <charset val="204"/>
          </rPr>
          <t>Vvolkova:</t>
        </r>
        <r>
          <rPr>
            <sz val="8"/>
            <color indexed="81"/>
            <rFont val="Tahoma"/>
            <family val="2"/>
            <charset val="204"/>
          </rPr>
          <t xml:space="preserve">
из 46 население</t>
        </r>
      </text>
    </comment>
    <comment ref="G21" authorId="0" shapeId="0">
      <text>
        <r>
          <rPr>
            <b/>
            <sz val="8"/>
            <color indexed="81"/>
            <rFont val="Tahoma"/>
            <family val="2"/>
            <charset val="204"/>
          </rPr>
          <t>Vvolkova:</t>
        </r>
        <r>
          <rPr>
            <sz val="8"/>
            <color indexed="81"/>
            <rFont val="Tahoma"/>
            <family val="2"/>
            <charset val="204"/>
          </rPr>
          <t xml:space="preserve">
урег. Змо за дек.12, в 46 попало, а потери МРСК не снялись, т.к. акт урег. За дек. Змо не сказало про эти объемы</t>
        </r>
      </text>
    </comment>
  </commentList>
</comments>
</file>

<file path=xl/comments10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11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12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13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14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15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16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17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18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2.xml><?xml version="1.0" encoding="utf-8"?>
<comments xmlns="http://schemas.openxmlformats.org/spreadsheetml/2006/main">
  <authors>
    <author>Vvolkova</author>
  </authors>
  <commentList>
    <comment ref="G20" authorId="0" shapeId="0">
      <text>
        <r>
          <rPr>
            <b/>
            <sz val="8"/>
            <color indexed="81"/>
            <rFont val="Tahoma"/>
            <family val="2"/>
            <charset val="204"/>
          </rPr>
          <t>Vvolkova:</t>
        </r>
        <r>
          <rPr>
            <sz val="8"/>
            <color indexed="81"/>
            <rFont val="Tahoma"/>
            <family val="2"/>
            <charset val="204"/>
          </rPr>
          <t xml:space="preserve">
из 46 население</t>
        </r>
      </text>
    </comment>
    <comment ref="G21" authorId="0" shapeId="0">
      <text>
        <r>
          <rPr>
            <b/>
            <sz val="8"/>
            <color indexed="81"/>
            <rFont val="Tahoma"/>
            <family val="2"/>
            <charset val="204"/>
          </rPr>
          <t>Vvolkova:</t>
        </r>
        <r>
          <rPr>
            <sz val="8"/>
            <color indexed="81"/>
            <rFont val="Tahoma"/>
            <family val="2"/>
            <charset val="204"/>
          </rPr>
          <t xml:space="preserve">
урег. Змо за дек.12, в 46 попало, а потери МРСК не снялись, т.к. акт урег. За дек. Змо не сказало про эти объемы</t>
        </r>
      </text>
    </comment>
  </commentList>
</comments>
</file>

<file path=xl/comments3.xml><?xml version="1.0" encoding="utf-8"?>
<comments xmlns="http://schemas.openxmlformats.org/spreadsheetml/2006/main">
  <authors>
    <author>Vvolkova</author>
  </authors>
  <commentList>
    <comment ref="G20" authorId="0" shapeId="0">
      <text>
        <r>
          <rPr>
            <b/>
            <sz val="8"/>
            <color indexed="81"/>
            <rFont val="Tahoma"/>
            <family val="2"/>
            <charset val="204"/>
          </rPr>
          <t>Vvolkova:</t>
        </r>
        <r>
          <rPr>
            <sz val="8"/>
            <color indexed="81"/>
            <rFont val="Tahoma"/>
            <family val="2"/>
            <charset val="204"/>
          </rPr>
          <t xml:space="preserve">
из 46 население</t>
        </r>
      </text>
    </comment>
    <comment ref="G21" authorId="0" shapeId="0">
      <text>
        <r>
          <rPr>
            <b/>
            <sz val="8"/>
            <color indexed="81"/>
            <rFont val="Tahoma"/>
            <family val="2"/>
            <charset val="204"/>
          </rPr>
          <t>Vvolkova:</t>
        </r>
        <r>
          <rPr>
            <sz val="8"/>
            <color indexed="81"/>
            <rFont val="Tahoma"/>
            <family val="2"/>
            <charset val="204"/>
          </rPr>
          <t xml:space="preserve">
урег. Змо за дек.12, в 46 попало, а потери МРСК не снялись, т.к. акт урег. За дек. Змо не сказало про эти объемы</t>
        </r>
      </text>
    </comment>
  </commentList>
</comments>
</file>

<file path=xl/comments4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5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6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7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8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comments9.xml><?xml version="1.0" encoding="utf-8"?>
<comments xmlns="http://schemas.openxmlformats.org/spreadsheetml/2006/main">
  <authors>
    <author>Казурова Анна Владимировна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- в 46 без них, а в 46ЭЭ сидят ОДН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204"/>
          </rPr>
          <t>Казурова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ОДН без подрезки, но с перерасч.2019</t>
        </r>
      </text>
    </comment>
  </commentList>
</comments>
</file>

<file path=xl/sharedStrings.xml><?xml version="1.0" encoding="utf-8"?>
<sst xmlns="http://schemas.openxmlformats.org/spreadsheetml/2006/main" count="824" uniqueCount="91">
  <si>
    <t>тыс. кВтч.</t>
  </si>
  <si>
    <t>Уровень напряжения</t>
  </si>
  <si>
    <t>через сети ОАО "МРСК Юга"-"Ростовэнерго"</t>
  </si>
  <si>
    <t>через сети ОАО "Донэнерго"</t>
  </si>
  <si>
    <t>Всего</t>
  </si>
  <si>
    <t>население</t>
  </si>
  <si>
    <t>прочие потребители</t>
  </si>
  <si>
    <t>потери МРСК и прочих ТСО</t>
  </si>
  <si>
    <t>ВН</t>
  </si>
  <si>
    <t>СН1</t>
  </si>
  <si>
    <t>СН2</t>
  </si>
  <si>
    <t>НН</t>
  </si>
  <si>
    <t>неотключ.</t>
  </si>
  <si>
    <t>дубовка</t>
  </si>
  <si>
    <t>РОАЗ и Ков. Щебзавод</t>
  </si>
  <si>
    <t>разница</t>
  </si>
  <si>
    <t>СВМО не вкл. В 46, а мы в акт включили</t>
  </si>
  <si>
    <t>5 месяцев</t>
  </si>
  <si>
    <t>Объем фактического полезного отпуска электроэнергии  и мощности по группам потребителей в разрезе Территориальных Сетевых Организаций по уровням напряжения за 5 мес. 2012 года</t>
  </si>
  <si>
    <t>Объем фактического полезного отпуска электроэнергии  и мощности по группам потребителей в разрезе Территориальных Сетевых Организаций по уровням напряжения за январь 2013 года</t>
  </si>
  <si>
    <t>через сети ОАО "ФСК"</t>
  </si>
  <si>
    <t>потери ТСО</t>
  </si>
  <si>
    <t>Объем фактического полезного отпуска электроэнергии  и мощности по группам потребителей в разрезе Территориальных Сетевых Организаций по уровням напряжения за февраль 2013 года</t>
  </si>
  <si>
    <t>Примечание:</t>
  </si>
  <si>
    <t>Информация раскрывается в соответствии  с п. 20 г) и п. 23 б) Постановления Правительства РФ от 21 января 2004 г. №24 «Об утверждении стандартов раскрытия информации субъектами оптового и розничных рынков электрической энергии»</t>
  </si>
  <si>
    <t>Объем фактического полезного отпуска электроэнергии  и мощности по группам потребителей в разрезе Территориальных Сетевых Организаций по уровням напряжения за март 2013 года</t>
  </si>
  <si>
    <t>ЮМО Оборнка</t>
  </si>
  <si>
    <t>ЗМО и с ДЭ убрали и с РЭ иначе бы с РЭ были бы разногласия минус 293 квтч.</t>
  </si>
  <si>
    <t>в 46</t>
  </si>
  <si>
    <t>население объяснение на G и F</t>
  </si>
  <si>
    <t>Росстрой (в марте снимают с потерь янв. и фев. НЗСП и выставляет ЦМО Росстрою)</t>
  </si>
  <si>
    <t>Доринда (в марте снимают с потерь янв. и фев. Ростгорсвет и выставляет ЦМО Доринде)</t>
  </si>
  <si>
    <t>ФСК</t>
  </si>
  <si>
    <t>Сумма по актам</t>
  </si>
  <si>
    <t>АУП по ЦД выставил больше, чем справочно у МО (может МРСК хознужды ЗМО)</t>
  </si>
  <si>
    <t>обратная история по населению ЮМО не вытащило и ЗМО по ДЭ</t>
  </si>
  <si>
    <t>Объем фактического полезного отпуска электроэнергии  и мощности по группам потребителей в разрезе Территориальных Сетевых Организаций по уровням напряжения за апрель 2013 года</t>
  </si>
  <si>
    <t>СВМО БСШУ</t>
  </si>
  <si>
    <t>ЦМО от ФСК ЮФУ по КП</t>
  </si>
  <si>
    <t>ЗМО и с ДЭ убрали и с РЭ иначе бы с РЭ были бы разногласия минус 318 квтч.</t>
  </si>
  <si>
    <t>СМО урег. По 11г.Адм.калин. СП</t>
  </si>
  <si>
    <t>перерасчет НЗСП</t>
  </si>
  <si>
    <t>Объем фактического полезного отпуска электроэнергии  и мощности по группам потребителей в разрезе Территориальных Сетевых Организаций по уровням напряжения за май 2013 года</t>
  </si>
  <si>
    <t>По тарифам для населения и приравненных к ним групп потребителей</t>
  </si>
  <si>
    <t>По тарифам для прочих потребителей</t>
  </si>
  <si>
    <t>Полезный отпуск потребителям от сетей ОАО "ФСК"</t>
  </si>
  <si>
    <t>Всего ОАО "ФСК"</t>
  </si>
  <si>
    <t>в том числе:</t>
  </si>
  <si>
    <t>потери ДЭ и прочих ТСО</t>
  </si>
  <si>
    <t>ВН1</t>
  </si>
  <si>
    <t>проверка итого</t>
  </si>
  <si>
    <t>из акта</t>
  </si>
  <si>
    <t>из 46</t>
  </si>
  <si>
    <t>из акта Тони</t>
  </si>
  <si>
    <t>из СЭ4 свод</t>
  </si>
  <si>
    <t>в СЭ4</t>
  </si>
  <si>
    <t>в акте с МРСК</t>
  </si>
  <si>
    <t>отклонение</t>
  </si>
  <si>
    <t>хоз нужды</t>
  </si>
  <si>
    <t>Полезный отпуск потребителям от сетей котла ПАО "МРСК Юга"-"Ростовэнерго"</t>
  </si>
  <si>
    <t>Всего поле ПАО "ТНС энерго Ростов-на-Дону"</t>
  </si>
  <si>
    <t>Всего по котлу ПАО "МРСК Юга"-"Ростовэнерго"</t>
  </si>
  <si>
    <t>потери ТСО - ООО "Металлэнергоресурс"; ОАО "Оборонэнерго""</t>
  </si>
  <si>
    <t xml:space="preserve">Полезный отпуск потребителям от сетей котла АО "Донэнерго" </t>
  </si>
  <si>
    <t>Всего по котлу АО "Донэнерго"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</si>
  <si>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2 полугодие 2021 года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</si>
  <si>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1 полугодие 2021 года</t>
  </si>
  <si>
    <t xml:space="preserve">потери ТСО </t>
  </si>
  <si>
    <t>здесь</t>
  </si>
  <si>
    <t>х/н???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</si>
  <si>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январь 2022 года</t>
  </si>
  <si>
    <t>потери ТСО - АО "Энергия"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</si>
  <si>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февраль 2022 года</t>
  </si>
  <si>
    <t>Полезный отпуск потребителям от сетей ПАО "ФСК"</t>
  </si>
  <si>
    <t>Всего ПАО "ФСК"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</si>
  <si>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март 2022 года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</si>
  <si>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апрель 2022 года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</si>
  <si>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май 2022 года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</si>
  <si>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июнь 2022 года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</si>
  <si>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июль 2022 года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</si>
  <si>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август 2022 года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</si>
  <si>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сентябрь 2022 года</t>
  </si>
  <si>
    <t>Полезный отпуск потребителям от сетей котла ПАО "Россети Юг"-"Ростовэнерго"</t>
  </si>
  <si>
    <t>потери Россети и прочих ТСО</t>
  </si>
  <si>
    <t>Объем фактического полезного отпуска электроэнергии по группам потребителей ПАО "ТНС энерго Ростов-на-Дону" в разрезе 
Территориальных Сетевых Организаций по уровням напряжения за октябрь 2022 года</t>
  </si>
  <si>
    <t>Объем фактического полезного отпуска электроэнергии по группам потребителей ПАО "ТНС энерго Ростов-на-Дону" по
Территориальным Сетевым Организациям по уровням напряжения за ноябрь 2022 года</t>
  </si>
  <si>
    <t>Объем фактического полезного отпуска электроэнергии по группам потребителей ПАО "ТНС энерго Ростов-на-Дону" по
Территориальным Сетевым Организациям по уровням напряжения с выделением поставки населению за декабрь 2022 года</t>
  </si>
  <si>
    <t>в 46 внутр. ТНС</t>
  </si>
  <si>
    <t>отклонение потери Энергии</t>
  </si>
  <si>
    <t>всего отклонение</t>
  </si>
  <si>
    <t>перерасчеты потери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</si>
</sst>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_р_._-;\-* #,##0.0_р_._-;_-* &quot;-&quot;?_р_._-;_-@_-"/>
    <numFmt numFmtId="167" formatCode="_-* #,##0.000_р_._-;\-* #,##0.000_р_._-;_-* &quot;-&quot;?_р_._-;_-@_-"/>
    <numFmt numFmtId="168" formatCode="_-* #,##0.000_р_._-;\-* #,##0.000_р_._-;_-* &quot;-&quot;??_р_._-;_-@_-"/>
    <numFmt numFmtId="169" formatCode="_-* #,##0.000_р_._-;\-* #,##0.000_р_._-;_-* &quot;-&quot;???_р_._-;_-@_-"/>
    <numFmt numFmtId="170" formatCode="_-* #,##0.0000_р_._-;\-* #,##0.0000_р_._-;_-* &quot;-&quot;?_р_._-;_-@_-"/>
    <numFmt numFmtId="171" formatCode="0.0%"/>
    <numFmt numFmtId="172" formatCode="#,##0.00_ ;[Red]\-#,##0.00\ "/>
    <numFmt numFmtId="173" formatCode="_-* #,##0.0000_р_._-;\-* #,##0.0000_р_._-;_-* &quot;-&quot;??_р_._-;_-@_-"/>
    <numFmt numFmtId="174" formatCode="_-* #,##0_р_._-;\-* #,##0_р_._-;_-* &quot;-&quot;?_р_._-;_-@_-"/>
    <numFmt numFmtId="175" formatCode="#,##0.000"/>
    <numFmt numFmtId="176" formatCode="_-* #,##0.00_р_._-;\-* #,##0.00_р_._-;_-* &quot;-&quot;???_р_._-;_-@_-"/>
    <numFmt numFmtId="177" formatCode="_-* #,##0.000\ _₽_-;\-* #,##0.000\ _₽_-;_-* &quot;-&quot;???\ _₽_-;_-@_-"/>
    <numFmt numFmtId="178" formatCode="0.000"/>
    <numFmt numFmtId="179" formatCode="_-* #,##0.00000_р_._-;\-* #,##0.00000_р_._-;_-* &quot;-&quot;??_р_._-;_-@_-"/>
    <numFmt numFmtId="180" formatCode="_-* #,##0.0000000_р_._-;\-* #,##0.0000000_р_._-;_-* &quot;-&quot;??_р_._-;_-@_-"/>
    <numFmt numFmtId="181" formatCode="_-* #,##0.00000000_р_._-;\-* #,##0.00000000_р_._-;_-* &quot;-&quot;??_р_._-;_-@_-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i/>
      <sz val="12"/>
      <name val="Arial Cyr"/>
      <charset val="204"/>
    </font>
    <font>
      <sz val="10"/>
      <color indexed="9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10"/>
      <name val="Arial Cyr"/>
      <charset val="204"/>
    </font>
    <font>
      <b/>
      <sz val="10"/>
      <color indexed="9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0"/>
      <name val="Arial Cyr"/>
      <charset val="204"/>
    </font>
    <font>
      <sz val="10"/>
      <color theme="0"/>
      <name val="Arial Cyr"/>
      <charset val="204"/>
    </font>
    <font>
      <b/>
      <sz val="10"/>
      <color theme="0" tint="-0.34998626667073579"/>
      <name val="Arial Cyr"/>
      <charset val="204"/>
    </font>
    <font>
      <sz val="10"/>
      <color theme="0" tint="-0.34998626667073579"/>
      <name val="Arial Cyr"/>
      <charset val="204"/>
    </font>
    <font>
      <sz val="10"/>
      <color rgb="FFB2B2B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  <font>
      <sz val="10"/>
      <color theme="0" tint="-4.9989318521683403E-2"/>
      <name val="Arial Cyr"/>
      <charset val="204"/>
    </font>
    <font>
      <b/>
      <sz val="10"/>
      <color theme="0" tint="-4.9989318521683403E-2"/>
      <name val="Times New Roman"/>
      <family val="1"/>
      <charset val="204"/>
    </font>
    <font>
      <i/>
      <sz val="10"/>
      <color theme="0" tint="-4.9989318521683403E-2"/>
      <name val="Times New Roman"/>
      <family val="1"/>
      <charset val="204"/>
    </font>
    <font>
      <sz val="10"/>
      <color theme="0" tint="-4.9989318521683403E-2"/>
      <name val="Times New Roman"/>
      <family val="1"/>
      <charset val="204"/>
    </font>
    <font>
      <sz val="10"/>
      <color rgb="FF0000CC"/>
      <name val="Arial Cyr"/>
      <charset val="204"/>
    </font>
    <font>
      <sz val="10"/>
      <color rgb="FFC0000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8" fillId="4" borderId="1" applyNumberFormat="0" applyAlignment="0" applyProtection="0"/>
    <xf numFmtId="0" fontId="9" fillId="11" borderId="2" applyNumberFormat="0" applyAlignment="0" applyProtection="0"/>
    <xf numFmtId="0" fontId="10" fillId="11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2" borderId="7" applyNumberFormat="0" applyAlignment="0" applyProtection="0"/>
    <xf numFmtId="0" fontId="16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27" fillId="0" borderId="0"/>
    <xf numFmtId="0" fontId="1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14" borderId="8" applyNumberFormat="0" applyFont="0" applyAlignment="0" applyProtection="0"/>
    <xf numFmtId="9" fontId="1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2" fillId="3" borderId="0" applyNumberFormat="0" applyBorder="0" applyAlignment="0" applyProtection="0"/>
  </cellStyleXfs>
  <cellXfs count="231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5" fontId="1" fillId="0" borderId="10" xfId="25" applyNumberFormat="1" applyBorder="1"/>
    <xf numFmtId="166" fontId="0" fillId="0" borderId="10" xfId="0" applyNumberFormat="1" applyBorder="1"/>
    <xf numFmtId="0" fontId="4" fillId="0" borderId="10" xfId="0" applyFont="1" applyFill="1" applyBorder="1" applyAlignment="1">
      <alignment horizontal="center"/>
    </xf>
    <xf numFmtId="165" fontId="4" fillId="0" borderId="10" xfId="25" applyNumberFormat="1" applyFont="1" applyBorder="1" applyAlignment="1">
      <alignment horizontal="center"/>
    </xf>
    <xf numFmtId="166" fontId="0" fillId="0" borderId="0" xfId="0" applyNumberFormat="1"/>
    <xf numFmtId="0" fontId="6" fillId="0" borderId="0" xfId="0" applyFont="1"/>
    <xf numFmtId="164" fontId="0" fillId="0" borderId="0" xfId="0" applyNumberFormat="1"/>
    <xf numFmtId="0" fontId="1" fillId="0" borderId="0" xfId="0" applyFont="1"/>
    <xf numFmtId="0" fontId="23" fillId="0" borderId="0" xfId="0" applyFont="1"/>
    <xf numFmtId="170" fontId="4" fillId="0" borderId="10" xfId="0" applyNumberFormat="1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169" fontId="6" fillId="0" borderId="0" xfId="0" applyNumberFormat="1" applyFont="1"/>
    <xf numFmtId="166" fontId="23" fillId="0" borderId="0" xfId="0" applyNumberFormat="1" applyFont="1"/>
    <xf numFmtId="168" fontId="1" fillId="0" borderId="10" xfId="25" applyNumberFormat="1" applyBorder="1"/>
    <xf numFmtId="0" fontId="6" fillId="0" borderId="0" xfId="0" applyFont="1" applyFill="1"/>
    <xf numFmtId="166" fontId="6" fillId="0" borderId="0" xfId="0" applyNumberFormat="1" applyFont="1" applyFill="1"/>
    <xf numFmtId="168" fontId="6" fillId="0" borderId="0" xfId="0" applyNumberFormat="1" applyFont="1" applyFill="1"/>
    <xf numFmtId="164" fontId="6" fillId="0" borderId="0" xfId="0" applyNumberFormat="1" applyFont="1" applyFill="1"/>
    <xf numFmtId="169" fontId="6" fillId="0" borderId="0" xfId="0" applyNumberFormat="1" applyFont="1" applyFill="1"/>
    <xf numFmtId="168" fontId="6" fillId="0" borderId="0" xfId="25" applyNumberFormat="1" applyFont="1" applyFill="1"/>
    <xf numFmtId="168" fontId="6" fillId="0" borderId="0" xfId="0" applyNumberFormat="1" applyFont="1"/>
    <xf numFmtId="168" fontId="4" fillId="0" borderId="10" xfId="25" applyNumberFormat="1" applyFont="1" applyBorder="1" applyAlignment="1">
      <alignment horizontal="center"/>
    </xf>
    <xf numFmtId="166" fontId="6" fillId="0" borderId="0" xfId="0" applyNumberFormat="1" applyFont="1"/>
    <xf numFmtId="164" fontId="1" fillId="0" borderId="0" xfId="0" applyNumberFormat="1" applyFont="1"/>
    <xf numFmtId="164" fontId="1" fillId="0" borderId="0" xfId="25" applyFont="1"/>
    <xf numFmtId="9" fontId="0" fillId="0" borderId="0" xfId="22" applyFont="1"/>
    <xf numFmtId="171" fontId="0" fillId="0" borderId="0" xfId="22" applyNumberFormat="1" applyFont="1"/>
    <xf numFmtId="9" fontId="0" fillId="0" borderId="0" xfId="22" applyNumberFormat="1" applyFont="1"/>
    <xf numFmtId="0" fontId="34" fillId="0" borderId="0" xfId="0" applyFont="1" applyAlignment="1">
      <alignment horizontal="center" vertical="center" wrapText="1"/>
    </xf>
    <xf numFmtId="0" fontId="35" fillId="0" borderId="0" xfId="0" applyFont="1"/>
    <xf numFmtId="164" fontId="35" fillId="0" borderId="0" xfId="25" applyFont="1"/>
    <xf numFmtId="169" fontId="35" fillId="0" borderId="0" xfId="0" applyNumberFormat="1" applyFont="1"/>
    <xf numFmtId="168" fontId="35" fillId="0" borderId="0" xfId="0" applyNumberFormat="1" applyFont="1"/>
    <xf numFmtId="9" fontId="35" fillId="0" borderId="0" xfId="0" applyNumberFormat="1" applyFont="1"/>
    <xf numFmtId="166" fontId="35" fillId="0" borderId="0" xfId="0" applyNumberFormat="1" applyFont="1"/>
    <xf numFmtId="164" fontId="35" fillId="0" borderId="0" xfId="0" applyNumberFormat="1" applyFont="1"/>
    <xf numFmtId="168" fontId="35" fillId="0" borderId="0" xfId="25" applyNumberFormat="1" applyFont="1"/>
    <xf numFmtId="172" fontId="0" fillId="0" borderId="0" xfId="0" applyNumberFormat="1" applyAlignment="1">
      <alignment vertical="center"/>
    </xf>
    <xf numFmtId="172" fontId="0" fillId="0" borderId="0" xfId="0" applyNumberFormat="1" applyAlignment="1">
      <alignment vertical="center" wrapText="1"/>
    </xf>
    <xf numFmtId="0" fontId="4" fillId="15" borderId="10" xfId="0" applyFont="1" applyFill="1" applyBorder="1" applyAlignment="1">
      <alignment horizontal="center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/>
    <xf numFmtId="164" fontId="37" fillId="0" borderId="0" xfId="25" applyFont="1"/>
    <xf numFmtId="166" fontId="37" fillId="0" borderId="0" xfId="0" applyNumberFormat="1" applyFont="1"/>
    <xf numFmtId="9" fontId="37" fillId="0" borderId="0" xfId="0" applyNumberFormat="1" applyFont="1"/>
    <xf numFmtId="164" fontId="37" fillId="0" borderId="0" xfId="25" applyFont="1" applyAlignment="1">
      <alignment horizontal="center"/>
    </xf>
    <xf numFmtId="168" fontId="37" fillId="0" borderId="0" xfId="0" applyNumberFormat="1" applyFont="1"/>
    <xf numFmtId="164" fontId="37" fillId="0" borderId="0" xfId="0" applyNumberFormat="1" applyFont="1"/>
    <xf numFmtId="169" fontId="37" fillId="0" borderId="0" xfId="0" applyNumberFormat="1" applyFont="1"/>
    <xf numFmtId="168" fontId="37" fillId="0" borderId="0" xfId="25" applyNumberFormat="1" applyFont="1"/>
    <xf numFmtId="172" fontId="37" fillId="0" borderId="0" xfId="0" applyNumberFormat="1" applyFont="1" applyAlignment="1">
      <alignment vertical="center"/>
    </xf>
    <xf numFmtId="172" fontId="37" fillId="0" borderId="0" xfId="0" applyNumberFormat="1" applyFont="1" applyAlignment="1">
      <alignment vertical="center" wrapText="1"/>
    </xf>
    <xf numFmtId="0" fontId="38" fillId="0" borderId="0" xfId="0" applyFont="1"/>
    <xf numFmtId="166" fontId="38" fillId="0" borderId="0" xfId="0" applyNumberFormat="1" applyFont="1"/>
    <xf numFmtId="0" fontId="37" fillId="16" borderId="0" xfId="0" applyFont="1" applyFill="1"/>
    <xf numFmtId="168" fontId="37" fillId="16" borderId="0" xfId="0" applyNumberFormat="1" applyFont="1" applyFill="1"/>
    <xf numFmtId="0" fontId="4" fillId="15" borderId="10" xfId="0" applyFont="1" applyFill="1" applyBorder="1" applyAlignment="1">
      <alignment horizontal="center" vertical="center" wrapText="1"/>
    </xf>
    <xf numFmtId="0" fontId="39" fillId="0" borderId="0" xfId="0" applyFont="1"/>
    <xf numFmtId="169" fontId="0" fillId="0" borderId="0" xfId="0" applyNumberFormat="1"/>
    <xf numFmtId="0" fontId="0" fillId="0" borderId="0" xfId="0" applyFont="1"/>
    <xf numFmtId="164" fontId="0" fillId="0" borderId="0" xfId="25" applyFont="1"/>
    <xf numFmtId="166" fontId="0" fillId="0" borderId="0" xfId="0" applyNumberFormat="1" applyFont="1"/>
    <xf numFmtId="9" fontId="0" fillId="0" borderId="0" xfId="0" applyNumberFormat="1" applyFont="1"/>
    <xf numFmtId="168" fontId="0" fillId="0" borderId="0" xfId="0" applyNumberFormat="1" applyFont="1"/>
    <xf numFmtId="164" fontId="0" fillId="0" borderId="0" xfId="0" applyNumberFormat="1" applyFont="1"/>
    <xf numFmtId="169" fontId="0" fillId="0" borderId="0" xfId="0" applyNumberFormat="1" applyFont="1"/>
    <xf numFmtId="168" fontId="0" fillId="0" borderId="0" xfId="25" applyNumberFormat="1" applyFont="1"/>
    <xf numFmtId="172" fontId="0" fillId="0" borderId="0" xfId="0" applyNumberFormat="1" applyFont="1" applyAlignment="1">
      <alignment vertical="center"/>
    </xf>
    <xf numFmtId="172" fontId="0" fillId="0" borderId="0" xfId="0" applyNumberFormat="1" applyFont="1" applyAlignment="1">
      <alignment vertical="center" wrapText="1"/>
    </xf>
    <xf numFmtId="164" fontId="39" fillId="0" borderId="0" xfId="25" applyFont="1"/>
    <xf numFmtId="166" fontId="39" fillId="0" borderId="0" xfId="0" applyNumberFormat="1" applyFont="1"/>
    <xf numFmtId="9" fontId="39" fillId="17" borderId="0" xfId="0" applyNumberFormat="1" applyFont="1" applyFill="1"/>
    <xf numFmtId="164" fontId="39" fillId="17" borderId="0" xfId="25" applyFont="1" applyFill="1"/>
    <xf numFmtId="166" fontId="39" fillId="17" borderId="0" xfId="0" applyNumberFormat="1" applyFont="1" applyFill="1"/>
    <xf numFmtId="0" fontId="39" fillId="17" borderId="0" xfId="0" applyFont="1" applyFill="1"/>
    <xf numFmtId="164" fontId="39" fillId="17" borderId="0" xfId="25" applyFont="1" applyFill="1" applyAlignment="1">
      <alignment horizontal="center"/>
    </xf>
    <xf numFmtId="168" fontId="39" fillId="17" borderId="0" xfId="0" applyNumberFormat="1" applyFont="1" applyFill="1"/>
    <xf numFmtId="164" fontId="39" fillId="17" borderId="0" xfId="0" applyNumberFormat="1" applyFont="1" applyFill="1"/>
    <xf numFmtId="169" fontId="39" fillId="17" borderId="0" xfId="0" applyNumberFormat="1" applyFont="1" applyFill="1"/>
    <xf numFmtId="168" fontId="39" fillId="17" borderId="0" xfId="25" applyNumberFormat="1" applyFont="1" applyFill="1"/>
    <xf numFmtId="172" fontId="39" fillId="0" borderId="0" xfId="0" applyNumberFormat="1" applyFont="1" applyAlignment="1">
      <alignment vertical="center"/>
    </xf>
    <xf numFmtId="172" fontId="39" fillId="0" borderId="0" xfId="0" applyNumberFormat="1" applyFont="1" applyAlignment="1">
      <alignment vertical="center" wrapText="1"/>
    </xf>
    <xf numFmtId="169" fontId="39" fillId="0" borderId="0" xfId="0" applyNumberFormat="1" applyFont="1"/>
    <xf numFmtId="0" fontId="39" fillId="16" borderId="0" xfId="0" applyFont="1" applyFill="1"/>
    <xf numFmtId="168" fontId="39" fillId="16" borderId="0" xfId="0" applyNumberFormat="1" applyFont="1" applyFill="1"/>
    <xf numFmtId="168" fontId="39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8" fillId="18" borderId="11" xfId="18" applyFont="1" applyFill="1" applyBorder="1" applyAlignment="1">
      <alignment horizontal="center" vertical="center" wrapText="1"/>
    </xf>
    <xf numFmtId="0" fontId="28" fillId="18" borderId="12" xfId="18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28" fillId="18" borderId="14" xfId="18" applyFont="1" applyFill="1" applyBorder="1" applyAlignment="1">
      <alignment horizontal="center" vertical="center" wrapText="1"/>
    </xf>
    <xf numFmtId="0" fontId="28" fillId="18" borderId="15" xfId="0" applyFont="1" applyFill="1" applyBorder="1" applyAlignment="1">
      <alignment horizontal="left"/>
    </xf>
    <xf numFmtId="0" fontId="29" fillId="18" borderId="16" xfId="0" applyFont="1" applyFill="1" applyBorder="1" applyAlignment="1">
      <alignment horizontal="left"/>
    </xf>
    <xf numFmtId="0" fontId="29" fillId="18" borderId="17" xfId="0" applyFont="1" applyFill="1" applyBorder="1" applyAlignment="1">
      <alignment horizontal="left"/>
    </xf>
    <xf numFmtId="0" fontId="28" fillId="18" borderId="18" xfId="18" applyFont="1" applyFill="1" applyBorder="1" applyAlignment="1">
      <alignment horizontal="center" vertical="center" wrapText="1"/>
    </xf>
    <xf numFmtId="167" fontId="28" fillId="0" borderId="19" xfId="0" applyNumberFormat="1" applyFont="1" applyBorder="1" applyAlignment="1">
      <alignment horizontal="center"/>
    </xf>
    <xf numFmtId="167" fontId="28" fillId="0" borderId="20" xfId="25" applyNumberFormat="1" applyFont="1" applyBorder="1" applyAlignment="1">
      <alignment horizontal="center"/>
    </xf>
    <xf numFmtId="167" fontId="28" fillId="0" borderId="21" xfId="25" applyNumberFormat="1" applyFont="1" applyBorder="1" applyAlignment="1">
      <alignment horizontal="center"/>
    </xf>
    <xf numFmtId="167" fontId="28" fillId="0" borderId="22" xfId="25" applyNumberFormat="1" applyFont="1" applyBorder="1" applyAlignment="1">
      <alignment horizontal="center"/>
    </xf>
    <xf numFmtId="167" fontId="28" fillId="0" borderId="23" xfId="25" applyNumberFormat="1" applyFont="1" applyBorder="1" applyAlignment="1">
      <alignment horizontal="center"/>
    </xf>
    <xf numFmtId="167" fontId="28" fillId="18" borderId="24" xfId="0" applyNumberFormat="1" applyFont="1" applyFill="1" applyBorder="1" applyAlignment="1">
      <alignment vertical="center" wrapText="1"/>
    </xf>
    <xf numFmtId="167" fontId="28" fillId="0" borderId="24" xfId="0" applyNumberFormat="1" applyFont="1" applyBorder="1" applyAlignment="1">
      <alignment horizontal="center"/>
    </xf>
    <xf numFmtId="167" fontId="29" fillId="0" borderId="25" xfId="25" applyNumberFormat="1" applyFont="1" applyBorder="1"/>
    <xf numFmtId="167" fontId="29" fillId="0" borderId="10" xfId="25" applyNumberFormat="1" applyFont="1" applyBorder="1"/>
    <xf numFmtId="167" fontId="29" fillId="0" borderId="25" xfId="0" applyNumberFormat="1" applyFont="1" applyBorder="1"/>
    <xf numFmtId="167" fontId="28" fillId="18" borderId="26" xfId="0" applyNumberFormat="1" applyFont="1" applyFill="1" applyBorder="1" applyAlignment="1">
      <alignment vertical="center" wrapText="1"/>
    </xf>
    <xf numFmtId="167" fontId="28" fillId="0" borderId="26" xfId="0" applyNumberFormat="1" applyFont="1" applyBorder="1" applyAlignment="1">
      <alignment horizontal="center"/>
    </xf>
    <xf numFmtId="167" fontId="29" fillId="0" borderId="27" xfId="25" applyNumberFormat="1" applyFont="1" applyBorder="1"/>
    <xf numFmtId="0" fontId="40" fillId="17" borderId="0" xfId="0" applyFont="1" applyFill="1"/>
    <xf numFmtId="0" fontId="40" fillId="0" borderId="0" xfId="0" applyFont="1"/>
    <xf numFmtId="169" fontId="40" fillId="0" borderId="0" xfId="0" applyNumberFormat="1" applyFont="1"/>
    <xf numFmtId="167" fontId="29" fillId="0" borderId="28" xfId="25" applyNumberFormat="1" applyFont="1" applyBorder="1" applyAlignment="1">
      <alignment horizontal="center"/>
    </xf>
    <xf numFmtId="167" fontId="29" fillId="0" borderId="29" xfId="25" applyNumberFormat="1" applyFont="1" applyBorder="1" applyAlignment="1">
      <alignment horizontal="center"/>
    </xf>
    <xf numFmtId="167" fontId="28" fillId="0" borderId="30" xfId="25" applyNumberFormat="1" applyFont="1" applyBorder="1" applyAlignment="1">
      <alignment horizontal="center"/>
    </xf>
    <xf numFmtId="167" fontId="29" fillId="0" borderId="31" xfId="0" applyNumberFormat="1" applyFont="1" applyBorder="1"/>
    <xf numFmtId="0" fontId="41" fillId="19" borderId="0" xfId="0" applyFont="1" applyFill="1"/>
    <xf numFmtId="169" fontId="41" fillId="19" borderId="0" xfId="0" applyNumberFormat="1" applyFont="1" applyFill="1"/>
    <xf numFmtId="164" fontId="41" fillId="19" borderId="0" xfId="0" applyNumberFormat="1" applyFont="1" applyFill="1"/>
    <xf numFmtId="168" fontId="41" fillId="19" borderId="0" xfId="0" applyNumberFormat="1" applyFont="1" applyFill="1"/>
    <xf numFmtId="164" fontId="41" fillId="19" borderId="0" xfId="25" applyFont="1" applyFill="1"/>
    <xf numFmtId="3" fontId="41" fillId="19" borderId="0" xfId="0" applyNumberFormat="1" applyFont="1" applyFill="1"/>
    <xf numFmtId="0" fontId="41" fillId="18" borderId="0" xfId="0" applyFont="1" applyFill="1"/>
    <xf numFmtId="164" fontId="41" fillId="18" borderId="0" xfId="25" applyFont="1" applyFill="1" applyAlignment="1">
      <alignment horizontal="center"/>
    </xf>
    <xf numFmtId="166" fontId="41" fillId="18" borderId="0" xfId="0" applyNumberFormat="1" applyFont="1" applyFill="1"/>
    <xf numFmtId="168" fontId="41" fillId="18" borderId="0" xfId="0" applyNumberFormat="1" applyFont="1" applyFill="1"/>
    <xf numFmtId="164" fontId="41" fillId="18" borderId="0" xfId="25" applyFont="1" applyFill="1"/>
    <xf numFmtId="0" fontId="0" fillId="18" borderId="0" xfId="0" applyFont="1" applyFill="1"/>
    <xf numFmtId="167" fontId="28" fillId="0" borderId="32" xfId="25" applyNumberFormat="1" applyFont="1" applyBorder="1" applyAlignment="1">
      <alignment horizontal="center"/>
    </xf>
    <xf numFmtId="0" fontId="0" fillId="17" borderId="0" xfId="0" applyFont="1" applyFill="1"/>
    <xf numFmtId="167" fontId="29" fillId="0" borderId="31" xfId="25" applyNumberFormat="1" applyFont="1" applyBorder="1"/>
    <xf numFmtId="0" fontId="36" fillId="18" borderId="0" xfId="0" applyFont="1" applyFill="1" applyAlignment="1">
      <alignment horizontal="center" vertical="center" wrapText="1"/>
    </xf>
    <xf numFmtId="0" fontId="37" fillId="18" borderId="0" xfId="0" applyFont="1" applyFill="1"/>
    <xf numFmtId="0" fontId="40" fillId="18" borderId="0" xfId="0" applyFont="1" applyFill="1"/>
    <xf numFmtId="0" fontId="42" fillId="18" borderId="0" xfId="0" applyFont="1" applyFill="1" applyBorder="1" applyAlignment="1">
      <alignment horizontal="center" vertical="center" wrapText="1"/>
    </xf>
    <xf numFmtId="0" fontId="43" fillId="18" borderId="0" xfId="0" applyFont="1" applyFill="1" applyBorder="1" applyAlignment="1">
      <alignment horizontal="center" vertical="center" wrapText="1"/>
    </xf>
    <xf numFmtId="0" fontId="42" fillId="19" borderId="0" xfId="18" applyFont="1" applyFill="1" applyBorder="1" applyAlignment="1">
      <alignment horizontal="center" vertical="center" wrapText="1"/>
    </xf>
    <xf numFmtId="174" fontId="42" fillId="19" borderId="0" xfId="25" applyNumberFormat="1" applyFont="1" applyFill="1" applyBorder="1" applyAlignment="1">
      <alignment horizontal="center"/>
    </xf>
    <xf numFmtId="174" fontId="44" fillId="19" borderId="0" xfId="0" applyNumberFormat="1" applyFont="1" applyFill="1" applyBorder="1"/>
    <xf numFmtId="174" fontId="44" fillId="0" borderId="0" xfId="0" applyNumberFormat="1" applyFont="1" applyBorder="1"/>
    <xf numFmtId="0" fontId="41" fillId="0" borderId="0" xfId="0" applyFont="1"/>
    <xf numFmtId="169" fontId="41" fillId="18" borderId="0" xfId="0" applyNumberFormat="1" applyFont="1" applyFill="1"/>
    <xf numFmtId="168" fontId="41" fillId="18" borderId="0" xfId="25" applyNumberFormat="1" applyFont="1" applyFill="1"/>
    <xf numFmtId="172" fontId="41" fillId="0" borderId="0" xfId="0" applyNumberFormat="1" applyFont="1" applyAlignment="1">
      <alignment vertical="center"/>
    </xf>
    <xf numFmtId="172" fontId="41" fillId="18" borderId="0" xfId="0" applyNumberFormat="1" applyFont="1" applyFill="1" applyAlignment="1">
      <alignment vertical="center"/>
    </xf>
    <xf numFmtId="172" fontId="41" fillId="0" borderId="0" xfId="0" applyNumberFormat="1" applyFont="1" applyAlignment="1">
      <alignment horizontal="left" vertical="center" wrapText="1"/>
    </xf>
    <xf numFmtId="172" fontId="41" fillId="18" borderId="0" xfId="0" applyNumberFormat="1" applyFont="1" applyFill="1" applyAlignment="1">
      <alignment vertical="center" wrapText="1"/>
    </xf>
    <xf numFmtId="0" fontId="41" fillId="16" borderId="0" xfId="0" applyFont="1" applyFill="1"/>
    <xf numFmtId="167" fontId="29" fillId="0" borderId="33" xfId="25" applyNumberFormat="1" applyFont="1" applyBorder="1" applyAlignment="1">
      <alignment horizontal="center"/>
    </xf>
    <xf numFmtId="167" fontId="29" fillId="0" borderId="34" xfId="25" applyNumberFormat="1" applyFont="1" applyBorder="1" applyAlignment="1">
      <alignment horizontal="center"/>
    </xf>
    <xf numFmtId="167" fontId="29" fillId="0" borderId="35" xfId="25" applyNumberFormat="1" applyFont="1" applyBorder="1" applyAlignment="1">
      <alignment horizontal="center"/>
    </xf>
    <xf numFmtId="167" fontId="29" fillId="0" borderId="36" xfId="25" applyNumberFormat="1" applyFont="1" applyBorder="1" applyAlignment="1">
      <alignment horizontal="center"/>
    </xf>
    <xf numFmtId="167" fontId="29" fillId="0" borderId="37" xfId="25" applyNumberFormat="1" applyFont="1" applyBorder="1" applyAlignment="1">
      <alignment horizontal="center"/>
    </xf>
    <xf numFmtId="167" fontId="29" fillId="0" borderId="38" xfId="25" applyNumberFormat="1" applyFont="1" applyBorder="1" applyAlignment="1">
      <alignment horizontal="center"/>
    </xf>
    <xf numFmtId="167" fontId="29" fillId="0" borderId="39" xfId="25" applyNumberFormat="1" applyFont="1" applyBorder="1"/>
    <xf numFmtId="167" fontId="29" fillId="0" borderId="28" xfId="25" applyNumberFormat="1" applyFont="1" applyBorder="1"/>
    <xf numFmtId="0" fontId="45" fillId="0" borderId="0" xfId="0" applyFont="1"/>
    <xf numFmtId="166" fontId="45" fillId="19" borderId="0" xfId="0" applyNumberFormat="1" applyFont="1" applyFill="1"/>
    <xf numFmtId="164" fontId="45" fillId="19" borderId="0" xfId="25" applyFont="1" applyFill="1"/>
    <xf numFmtId="0" fontId="45" fillId="19" borderId="0" xfId="0" applyFont="1" applyFill="1"/>
    <xf numFmtId="0" fontId="45" fillId="19" borderId="0" xfId="0" applyFont="1" applyFill="1" applyAlignment="1">
      <alignment horizontal="center" vertical="center"/>
    </xf>
    <xf numFmtId="169" fontId="0" fillId="20" borderId="0" xfId="0" applyNumberFormat="1" applyFont="1" applyFill="1"/>
    <xf numFmtId="175" fontId="41" fillId="0" borderId="0" xfId="0" applyNumberFormat="1" applyFont="1"/>
    <xf numFmtId="0" fontId="0" fillId="0" borderId="0" xfId="0" applyFont="1" applyAlignment="1">
      <alignment horizontal="center"/>
    </xf>
    <xf numFmtId="0" fontId="31" fillId="18" borderId="13" xfId="0" applyFont="1" applyFill="1" applyBorder="1" applyAlignment="1">
      <alignment horizontal="center" vertical="center" wrapText="1"/>
    </xf>
    <xf numFmtId="178" fontId="41" fillId="19" borderId="0" xfId="0" applyNumberFormat="1" applyFont="1" applyFill="1"/>
    <xf numFmtId="175" fontId="41" fillId="19" borderId="0" xfId="0" applyNumberFormat="1" applyFont="1" applyFill="1"/>
    <xf numFmtId="167" fontId="29" fillId="18" borderId="10" xfId="25" applyNumberFormat="1" applyFont="1" applyFill="1" applyBorder="1"/>
    <xf numFmtId="167" fontId="29" fillId="18" borderId="33" xfId="25" applyNumberFormat="1" applyFont="1" applyFill="1" applyBorder="1" applyAlignment="1">
      <alignment horizontal="center"/>
    </xf>
    <xf numFmtId="167" fontId="29" fillId="0" borderId="40" xfId="0" applyNumberFormat="1" applyFont="1" applyBorder="1"/>
    <xf numFmtId="167" fontId="29" fillId="0" borderId="27" xfId="0" applyNumberFormat="1" applyFont="1" applyBorder="1"/>
    <xf numFmtId="178" fontId="45" fillId="19" borderId="0" xfId="0" applyNumberFormat="1" applyFont="1" applyFill="1"/>
    <xf numFmtId="177" fontId="0" fillId="0" borderId="0" xfId="0" applyNumberFormat="1" applyFont="1"/>
    <xf numFmtId="167" fontId="29" fillId="18" borderId="41" xfId="25" applyNumberFormat="1" applyFont="1" applyFill="1" applyBorder="1"/>
    <xf numFmtId="173" fontId="41" fillId="18" borderId="0" xfId="0" applyNumberFormat="1" applyFont="1" applyFill="1"/>
    <xf numFmtId="181" fontId="41" fillId="18" borderId="0" xfId="25" applyNumberFormat="1" applyFont="1" applyFill="1"/>
    <xf numFmtId="180" fontId="41" fillId="18" borderId="0" xfId="0" applyNumberFormat="1" applyFont="1" applyFill="1"/>
    <xf numFmtId="167" fontId="0" fillId="0" borderId="0" xfId="0" applyNumberFormat="1" applyFont="1"/>
    <xf numFmtId="3" fontId="0" fillId="0" borderId="0" xfId="0" applyNumberFormat="1" applyFont="1"/>
    <xf numFmtId="179" fontId="41" fillId="18" borderId="0" xfId="25" applyNumberFormat="1" applyFont="1" applyFill="1"/>
    <xf numFmtId="176" fontId="0" fillId="0" borderId="0" xfId="0" applyNumberFormat="1" applyFont="1"/>
    <xf numFmtId="176" fontId="41" fillId="19" borderId="0" xfId="0" applyNumberFormat="1" applyFont="1" applyFill="1"/>
    <xf numFmtId="43" fontId="41" fillId="19" borderId="0" xfId="0" applyNumberFormat="1" applyFont="1" applyFill="1"/>
    <xf numFmtId="177" fontId="41" fillId="19" borderId="0" xfId="0" applyNumberFormat="1" applyFont="1" applyFill="1"/>
    <xf numFmtId="43" fontId="40" fillId="0" borderId="0" xfId="0" applyNumberFormat="1" applyFont="1"/>
    <xf numFmtId="0" fontId="40" fillId="19" borderId="0" xfId="0" applyFont="1" applyFill="1"/>
    <xf numFmtId="43" fontId="40" fillId="19" borderId="0" xfId="0" applyNumberFormat="1" applyFont="1" applyFill="1"/>
    <xf numFmtId="176" fontId="46" fillId="0" borderId="0" xfId="0" applyNumberFormat="1" applyFont="1"/>
    <xf numFmtId="0" fontId="46" fillId="0" borderId="0" xfId="0" applyFont="1"/>
    <xf numFmtId="169" fontId="46" fillId="0" borderId="0" xfId="0" applyNumberFormat="1" applyFont="1"/>
    <xf numFmtId="177" fontId="46" fillId="0" borderId="0" xfId="0" applyNumberFormat="1" applyFont="1"/>
    <xf numFmtId="177" fontId="46" fillId="19" borderId="0" xfId="0" applyNumberFormat="1" applyFont="1" applyFill="1"/>
    <xf numFmtId="0" fontId="46" fillId="19" borderId="0" xfId="0" applyFont="1" applyFill="1"/>
    <xf numFmtId="4" fontId="41" fillId="18" borderId="0" xfId="0" applyNumberFormat="1" applyFont="1" applyFill="1"/>
    <xf numFmtId="0" fontId="4" fillId="15" borderId="10" xfId="0" applyFont="1" applyFill="1" applyBorder="1" applyAlignment="1">
      <alignment horizontal="center" vertical="center" wrapText="1"/>
    </xf>
    <xf numFmtId="0" fontId="5" fillId="15" borderId="42" xfId="0" applyFont="1" applyFill="1" applyBorder="1" applyAlignment="1">
      <alignment horizontal="center" vertical="center" wrapText="1"/>
    </xf>
    <xf numFmtId="0" fontId="5" fillId="15" borderId="43" xfId="0" applyFont="1" applyFill="1" applyBorder="1" applyAlignment="1">
      <alignment horizontal="center" vertical="center" wrapText="1"/>
    </xf>
    <xf numFmtId="0" fontId="5" fillId="15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2" fontId="0" fillId="0" borderId="0" xfId="0" applyNumberFormat="1" applyAlignment="1">
      <alignment horizontal="left" vertical="center" wrapText="1"/>
    </xf>
    <xf numFmtId="0" fontId="28" fillId="18" borderId="49" xfId="18" applyFont="1" applyFill="1" applyBorder="1" applyAlignment="1">
      <alignment horizontal="center" vertical="center" wrapText="1"/>
    </xf>
    <xf numFmtId="0" fontId="30" fillId="18" borderId="50" xfId="0" applyFont="1" applyFill="1" applyBorder="1" applyAlignment="1">
      <alignment horizontal="center" vertical="center" wrapText="1"/>
    </xf>
    <xf numFmtId="0" fontId="30" fillId="18" borderId="47" xfId="0" applyFont="1" applyFill="1" applyBorder="1" applyAlignment="1">
      <alignment horizontal="center" vertical="center" wrapText="1"/>
    </xf>
    <xf numFmtId="0" fontId="30" fillId="18" borderId="48" xfId="0" applyFont="1" applyFill="1" applyBorder="1" applyAlignment="1">
      <alignment horizontal="center" vertical="center" wrapText="1"/>
    </xf>
    <xf numFmtId="172" fontId="0" fillId="0" borderId="0" xfId="0" applyNumberFormat="1" applyFont="1" applyAlignment="1">
      <alignment horizontal="left" vertical="center" wrapText="1"/>
    </xf>
    <xf numFmtId="0" fontId="28" fillId="18" borderId="32" xfId="0" applyFont="1" applyFill="1" applyBorder="1" applyAlignment="1">
      <alignment horizontal="center" vertical="center" wrapText="1"/>
    </xf>
    <xf numFmtId="0" fontId="28" fillId="18" borderId="16" xfId="0" applyFont="1" applyFill="1" applyBorder="1" applyAlignment="1">
      <alignment horizontal="center" vertical="center" wrapText="1"/>
    </xf>
    <xf numFmtId="0" fontId="28" fillId="18" borderId="17" xfId="0" applyFont="1" applyFill="1" applyBorder="1" applyAlignment="1">
      <alignment horizontal="center" vertical="center" wrapText="1"/>
    </xf>
    <xf numFmtId="0" fontId="28" fillId="18" borderId="45" xfId="0" applyFont="1" applyFill="1" applyBorder="1" applyAlignment="1">
      <alignment horizontal="center" vertical="center" wrapText="1"/>
    </xf>
    <xf numFmtId="0" fontId="28" fillId="18" borderId="49" xfId="0" applyFont="1" applyFill="1" applyBorder="1" applyAlignment="1">
      <alignment horizontal="center" vertical="center" wrapText="1"/>
    </xf>
    <xf numFmtId="0" fontId="28" fillId="18" borderId="46" xfId="0" applyFont="1" applyFill="1" applyBorder="1" applyAlignment="1">
      <alignment horizontal="center" vertical="center" wrapText="1"/>
    </xf>
    <xf numFmtId="0" fontId="28" fillId="18" borderId="50" xfId="0" applyFont="1" applyFill="1" applyBorder="1" applyAlignment="1">
      <alignment horizontal="center" vertical="center" wrapText="1"/>
    </xf>
    <xf numFmtId="0" fontId="28" fillId="18" borderId="47" xfId="0" applyFont="1" applyFill="1" applyBorder="1" applyAlignment="1">
      <alignment horizontal="center" vertical="center" wrapText="1"/>
    </xf>
    <xf numFmtId="0" fontId="28" fillId="18" borderId="48" xfId="0" applyFont="1" applyFill="1" applyBorder="1" applyAlignment="1">
      <alignment horizontal="center" vertical="center" wrapText="1"/>
    </xf>
    <xf numFmtId="0" fontId="30" fillId="18" borderId="0" xfId="0" applyFont="1" applyFill="1" applyBorder="1" applyAlignment="1">
      <alignment horizontal="center" vertical="center" wrapText="1"/>
    </xf>
    <xf numFmtId="0" fontId="30" fillId="18" borderId="44" xfId="0" applyFont="1" applyFill="1" applyBorder="1" applyAlignment="1">
      <alignment horizontal="center" vertical="center" wrapText="1"/>
    </xf>
    <xf numFmtId="0" fontId="28" fillId="18" borderId="45" xfId="18" applyFont="1" applyFill="1" applyBorder="1" applyAlignment="1">
      <alignment horizontal="center" vertical="center" wrapText="1"/>
    </xf>
    <xf numFmtId="0" fontId="28" fillId="18" borderId="46" xfId="18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СЭ-4ф по актам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2" builtinId="5"/>
    <cellStyle name="Связанная ячейка" xfId="23" builtinId="24" customBuiltin="1"/>
    <cellStyle name="Текст предупреждения" xfId="24" builtinId="11" customBuiltin="1"/>
    <cellStyle name="Финансовый" xfId="25" builtinId="3"/>
    <cellStyle name="Хороший" xfId="2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63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47.xml"/><Relationship Id="rId84" Type="http://schemas.openxmlformats.org/officeDocument/2006/relationships/externalLink" Target="externalLinks/externalLink63.xml"/><Relationship Id="rId89" Type="http://schemas.openxmlformats.org/officeDocument/2006/relationships/externalLink" Target="externalLinks/externalLink68.xml"/><Relationship Id="rId112" Type="http://schemas.openxmlformats.org/officeDocument/2006/relationships/externalLink" Target="externalLinks/externalLink9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8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53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37.xml"/><Relationship Id="rId74" Type="http://schemas.openxmlformats.org/officeDocument/2006/relationships/externalLink" Target="externalLinks/externalLink53.xml"/><Relationship Id="rId79" Type="http://schemas.openxmlformats.org/officeDocument/2006/relationships/externalLink" Target="externalLinks/externalLink58.xml"/><Relationship Id="rId102" Type="http://schemas.openxmlformats.org/officeDocument/2006/relationships/externalLink" Target="externalLinks/externalLink81.xml"/><Relationship Id="rId123" Type="http://schemas.openxmlformats.org/officeDocument/2006/relationships/externalLink" Target="externalLinks/externalLink102.xml"/><Relationship Id="rId128" Type="http://schemas.openxmlformats.org/officeDocument/2006/relationships/externalLink" Target="externalLinks/externalLink107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9.xml"/><Relationship Id="rId95" Type="http://schemas.openxmlformats.org/officeDocument/2006/relationships/externalLink" Target="externalLinks/externalLink7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64" Type="http://schemas.openxmlformats.org/officeDocument/2006/relationships/externalLink" Target="externalLinks/externalLink43.xml"/><Relationship Id="rId69" Type="http://schemas.openxmlformats.org/officeDocument/2006/relationships/externalLink" Target="externalLinks/externalLink48.xml"/><Relationship Id="rId113" Type="http://schemas.openxmlformats.org/officeDocument/2006/relationships/externalLink" Target="externalLinks/externalLink92.xml"/><Relationship Id="rId118" Type="http://schemas.openxmlformats.org/officeDocument/2006/relationships/externalLink" Target="externalLinks/externalLink97.xml"/><Relationship Id="rId80" Type="http://schemas.openxmlformats.org/officeDocument/2006/relationships/externalLink" Target="externalLinks/externalLink59.xml"/><Relationship Id="rId85" Type="http://schemas.openxmlformats.org/officeDocument/2006/relationships/externalLink" Target="externalLinks/externalLink64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59" Type="http://schemas.openxmlformats.org/officeDocument/2006/relationships/externalLink" Target="externalLinks/externalLink38.xml"/><Relationship Id="rId103" Type="http://schemas.openxmlformats.org/officeDocument/2006/relationships/externalLink" Target="externalLinks/externalLink82.xml"/><Relationship Id="rId108" Type="http://schemas.openxmlformats.org/officeDocument/2006/relationships/externalLink" Target="externalLinks/externalLink87.xml"/><Relationship Id="rId124" Type="http://schemas.openxmlformats.org/officeDocument/2006/relationships/externalLink" Target="externalLinks/externalLink103.xml"/><Relationship Id="rId129" Type="http://schemas.openxmlformats.org/officeDocument/2006/relationships/theme" Target="theme/theme1.xml"/><Relationship Id="rId54" Type="http://schemas.openxmlformats.org/officeDocument/2006/relationships/externalLink" Target="externalLinks/externalLink33.xml"/><Relationship Id="rId70" Type="http://schemas.openxmlformats.org/officeDocument/2006/relationships/externalLink" Target="externalLinks/externalLink49.xml"/><Relationship Id="rId75" Type="http://schemas.openxmlformats.org/officeDocument/2006/relationships/externalLink" Target="externalLinks/externalLink54.xml"/><Relationship Id="rId91" Type="http://schemas.openxmlformats.org/officeDocument/2006/relationships/externalLink" Target="externalLinks/externalLink70.xml"/><Relationship Id="rId96" Type="http://schemas.openxmlformats.org/officeDocument/2006/relationships/externalLink" Target="externalLinks/externalLink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49" Type="http://schemas.openxmlformats.org/officeDocument/2006/relationships/externalLink" Target="externalLinks/externalLink28.xml"/><Relationship Id="rId114" Type="http://schemas.openxmlformats.org/officeDocument/2006/relationships/externalLink" Target="externalLinks/externalLink93.xml"/><Relationship Id="rId119" Type="http://schemas.openxmlformats.org/officeDocument/2006/relationships/externalLink" Target="externalLinks/externalLink98.xml"/><Relationship Id="rId44" Type="http://schemas.openxmlformats.org/officeDocument/2006/relationships/externalLink" Target="externalLinks/externalLink23.xml"/><Relationship Id="rId60" Type="http://schemas.openxmlformats.org/officeDocument/2006/relationships/externalLink" Target="externalLinks/externalLink39.xml"/><Relationship Id="rId65" Type="http://schemas.openxmlformats.org/officeDocument/2006/relationships/externalLink" Target="externalLinks/externalLink44.xml"/><Relationship Id="rId81" Type="http://schemas.openxmlformats.org/officeDocument/2006/relationships/externalLink" Target="externalLinks/externalLink60.xml"/><Relationship Id="rId86" Type="http://schemas.openxmlformats.org/officeDocument/2006/relationships/externalLink" Target="externalLinks/externalLink65.xml"/><Relationship Id="rId130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8.xml"/><Relationship Id="rId109" Type="http://schemas.openxmlformats.org/officeDocument/2006/relationships/externalLink" Target="externalLinks/externalLink88.xml"/><Relationship Id="rId34" Type="http://schemas.openxmlformats.org/officeDocument/2006/relationships/externalLink" Target="externalLinks/externalLink13.xml"/><Relationship Id="rId50" Type="http://schemas.openxmlformats.org/officeDocument/2006/relationships/externalLink" Target="externalLinks/externalLink29.xml"/><Relationship Id="rId55" Type="http://schemas.openxmlformats.org/officeDocument/2006/relationships/externalLink" Target="externalLinks/externalLink34.xml"/><Relationship Id="rId76" Type="http://schemas.openxmlformats.org/officeDocument/2006/relationships/externalLink" Target="externalLinks/externalLink55.xml"/><Relationship Id="rId97" Type="http://schemas.openxmlformats.org/officeDocument/2006/relationships/externalLink" Target="externalLinks/externalLink76.xml"/><Relationship Id="rId104" Type="http://schemas.openxmlformats.org/officeDocument/2006/relationships/externalLink" Target="externalLinks/externalLink83.xml"/><Relationship Id="rId120" Type="http://schemas.openxmlformats.org/officeDocument/2006/relationships/externalLink" Target="externalLinks/externalLink99.xml"/><Relationship Id="rId125" Type="http://schemas.openxmlformats.org/officeDocument/2006/relationships/externalLink" Target="externalLinks/externalLink10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0.xml"/><Relationship Id="rId92" Type="http://schemas.openxmlformats.org/officeDocument/2006/relationships/externalLink" Target="externalLinks/externalLink7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8.xml"/><Relationship Id="rId24" Type="http://schemas.openxmlformats.org/officeDocument/2006/relationships/externalLink" Target="externalLinks/externalLink3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66" Type="http://schemas.openxmlformats.org/officeDocument/2006/relationships/externalLink" Target="externalLinks/externalLink45.xml"/><Relationship Id="rId87" Type="http://schemas.openxmlformats.org/officeDocument/2006/relationships/externalLink" Target="externalLinks/externalLink66.xml"/><Relationship Id="rId110" Type="http://schemas.openxmlformats.org/officeDocument/2006/relationships/externalLink" Target="externalLinks/externalLink89.xml"/><Relationship Id="rId115" Type="http://schemas.openxmlformats.org/officeDocument/2006/relationships/externalLink" Target="externalLinks/externalLink94.xml"/><Relationship Id="rId131" Type="http://schemas.openxmlformats.org/officeDocument/2006/relationships/sharedStrings" Target="sharedStrings.xml"/><Relationship Id="rId61" Type="http://schemas.openxmlformats.org/officeDocument/2006/relationships/externalLink" Target="externalLinks/externalLink40.xml"/><Relationship Id="rId82" Type="http://schemas.openxmlformats.org/officeDocument/2006/relationships/externalLink" Target="externalLinks/externalLink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56" Type="http://schemas.openxmlformats.org/officeDocument/2006/relationships/externalLink" Target="externalLinks/externalLink35.xml"/><Relationship Id="rId77" Type="http://schemas.openxmlformats.org/officeDocument/2006/relationships/externalLink" Target="externalLinks/externalLink56.xml"/><Relationship Id="rId100" Type="http://schemas.openxmlformats.org/officeDocument/2006/relationships/externalLink" Target="externalLinks/externalLink79.xml"/><Relationship Id="rId105" Type="http://schemas.openxmlformats.org/officeDocument/2006/relationships/externalLink" Target="externalLinks/externalLink84.xml"/><Relationship Id="rId126" Type="http://schemas.openxmlformats.org/officeDocument/2006/relationships/externalLink" Target="externalLinks/externalLink10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0.xml"/><Relationship Id="rId72" Type="http://schemas.openxmlformats.org/officeDocument/2006/relationships/externalLink" Target="externalLinks/externalLink51.xml"/><Relationship Id="rId93" Type="http://schemas.openxmlformats.org/officeDocument/2006/relationships/externalLink" Target="externalLinks/externalLink72.xml"/><Relationship Id="rId98" Type="http://schemas.openxmlformats.org/officeDocument/2006/relationships/externalLink" Target="externalLinks/externalLink77.xml"/><Relationship Id="rId121" Type="http://schemas.openxmlformats.org/officeDocument/2006/relationships/externalLink" Target="externalLinks/externalLink100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4.xml"/><Relationship Id="rId46" Type="http://schemas.openxmlformats.org/officeDocument/2006/relationships/externalLink" Target="externalLinks/externalLink25.xml"/><Relationship Id="rId67" Type="http://schemas.openxmlformats.org/officeDocument/2006/relationships/externalLink" Target="externalLinks/externalLink46.xml"/><Relationship Id="rId116" Type="http://schemas.openxmlformats.org/officeDocument/2006/relationships/externalLink" Target="externalLinks/externalLink9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62" Type="http://schemas.openxmlformats.org/officeDocument/2006/relationships/externalLink" Target="externalLinks/externalLink41.xml"/><Relationship Id="rId83" Type="http://schemas.openxmlformats.org/officeDocument/2006/relationships/externalLink" Target="externalLinks/externalLink62.xml"/><Relationship Id="rId88" Type="http://schemas.openxmlformats.org/officeDocument/2006/relationships/externalLink" Target="externalLinks/externalLink67.xml"/><Relationship Id="rId111" Type="http://schemas.openxmlformats.org/officeDocument/2006/relationships/externalLink" Target="externalLinks/externalLink90.xml"/><Relationship Id="rId132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5.xml"/><Relationship Id="rId57" Type="http://schemas.openxmlformats.org/officeDocument/2006/relationships/externalLink" Target="externalLinks/externalLink36.xml"/><Relationship Id="rId106" Type="http://schemas.openxmlformats.org/officeDocument/2006/relationships/externalLink" Target="externalLinks/externalLink85.xml"/><Relationship Id="rId127" Type="http://schemas.openxmlformats.org/officeDocument/2006/relationships/externalLink" Target="externalLinks/externalLink10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0.xml"/><Relationship Id="rId52" Type="http://schemas.openxmlformats.org/officeDocument/2006/relationships/externalLink" Target="externalLinks/externalLink31.xml"/><Relationship Id="rId73" Type="http://schemas.openxmlformats.org/officeDocument/2006/relationships/externalLink" Target="externalLinks/externalLink52.xml"/><Relationship Id="rId78" Type="http://schemas.openxmlformats.org/officeDocument/2006/relationships/externalLink" Target="externalLinks/externalLink57.xml"/><Relationship Id="rId94" Type="http://schemas.openxmlformats.org/officeDocument/2006/relationships/externalLink" Target="externalLinks/externalLink73.xml"/><Relationship Id="rId99" Type="http://schemas.openxmlformats.org/officeDocument/2006/relationships/externalLink" Target="externalLinks/externalLink78.xml"/><Relationship Id="rId101" Type="http://schemas.openxmlformats.org/officeDocument/2006/relationships/externalLink" Target="externalLinks/externalLink80.xml"/><Relationship Id="rId122" Type="http://schemas.openxmlformats.org/officeDocument/2006/relationships/externalLink" Target="externalLinks/externalLink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42;&#1086;&#1083;&#1082;&#1086;&#1074;&#1072;/&#1057;&#1074;&#1086;&#1076;&#1085;&#1099;&#1081;%20&#1072;&#1082;&#1090;%20&#1089;%20&#1056;&#1069;/2013%20&#1075;&#1086;&#1076;/&#1059;&#1055;&#1055;%20&#1069;&#1056;-&#1054;&#1040;&#1054;%20&#1060;&#1057;&#1050;%20&#1060;&#1072;&#1082;&#109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42;&#1086;&#1083;&#1082;&#1086;&#1074;&#1072;/&#1057;&#1074;&#1086;&#1076;&#1085;&#1099;&#1081;%20&#1072;&#1082;&#1090;%20&#1089;%20&#1056;&#1069;/2013%20&#1075;&#1086;&#1076;/&#1084;&#1072;&#1088;&#1090;%2013/&#1057;&#1074;&#1086;&#1076;&#1085;&#1099;&#1081;%20&#1072;&#1082;&#1090;%20&#1089;%20&#1052;&#1056;&#1057;&#1050;%20&#1086;&#1090;%2031%20&#1084;&#1072;&#1088;&#1090;&#1072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76;&#1077;&#1082;&#1072;&#1073;&#1088;&#1100;/&#1057;&#1069;-46%20&#1076;&#1077;&#1082;&#1072;&#1073;&#1088;&#1100;%202022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1%20&#1075;&#1086;&#1076;/&#1056;&#1054;&#1057;&#1057;&#1045;&#1058;&#1048;%20&#1070;&#1043;/&#1057;&#1042;&#1054;&#1044;&#1053;&#1067;&#1049;%20&#1040;&#1050;&#1058;/&#1080;&#1102;&#1085;&#1100;/&#1057;&#1074;&#1086;&#1076;&#1085;&#1099;&#1081;%20&#1072;&#1082;&#1090;%20&#1089;%20&#1052;&#1056;&#1057;&#1050;%20&#1080;&#1102;&#1085;&#110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1%20&#1075;&#1086;&#1076;/&#1044;&#1054;&#1053;&#1069;&#1053;&#1045;&#1056;&#1043;&#1054;/&#1057;&#1042;&#1054;&#1044;&#1053;&#1067;&#1049;%20&#1040;&#1050;&#1058;/&#1080;&#1102;&#1085;&#1100;%202021/&#1057;&#1042;&#1054;&#1044;&#1053;&#1067;&#1049;%20&#1040;&#1050;&#1058;%20&#1044;&#1069;%20&#1080;&#1102;&#1085;&#1100;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1/&#1080;&#1102;&#1085;&#1100;/&#1057;&#1069;-4%20&#1080;&#1102;&#1085;&#1100;%202021.xlsb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1/&#1080;&#1102;&#1085;&#1100;/&#1057;&#1069;-46%20&#1080;&#1102;&#1085;&#1100;%202021%20&#1095;&#1080;&#1089;&#1090;&#1072;&#1103;%20+%20&#1087;&#1077;&#1088;&#1077;&#1088;%202021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1/&#1080;&#1102;&#1085;&#1100;/&#1057;&#1069;-46%20&#1080;&#1102;&#1085;&#1100;%202021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41;&#1080;&#1079;&#1085;&#1077;&#1089;-&#1087;&#1083;&#1072;&#1085;%202022/&#1079;&#1072;&#1103;&#1074;&#1082;&#1072;%20&#1043;&#1055;/&#1076;&#1083;&#1103;%20&#1089;&#1086;&#1074;&#1077;&#1097;&#1072;&#1085;&#1080;&#1081;%20&#1074;%20&#1056;&#1057;&#1058;/&#1072;&#1085;&#1072;&#1083;&#1080;&#1079;%20%202017-2021%20&#1085;&#1072;&#1089;&#1077;&#1083;&#1077;&#1085;&#1080;&#1077;%20&#1087;&#1088;&#1086;&#1095;&#1080;&#1077;%20&#1087;&#1086;&#1090;&#1077;&#1088;&#1080;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2;&#1086;&#1083;&#1082;&#1086;&#1074;&#1072;&#1042;&#1042;/&#1052;&#1086;&#1080;%20&#1076;&#1086;&#1082;&#1091;&#1084;&#1077;&#1085;&#1090;&#1099;/&#1057;&#1074;&#1086;&#1076;&#1085;&#1099;&#1081;%20&#1072;&#1082;&#1090;%20&#1089;%20&#1056;&#1069;/2012%20&#1075;&#1086;&#1076;/&#1084;&#1072;&#1081;%2012/&#1057;&#1074;&#1086;&#1076;&#1085;&#1099;&#1081;%20&#1072;&#1082;&#1090;%20&#1089;%20&#1052;&#1056;&#1057;&#1050;%20&#1086;&#1090;%2031%20&#1084;&#1072;&#110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53;&#1077;&#1076;&#1086;&#1088;&#1091;&#1073;&#1072;/&#1060;-46_2013/&#1069;&#1085;&#1077;&#1088;&#1075;&#1086;&#1089;&#1073;&#1099;&#1090;%20&#1056;&#1086;&#1089;&#1090;&#1086;&#1074;&#1101;&#1085;&#1077;&#1088;&#1075;&#1086;/&#1084;&#1072;&#1088;&#1090;/&#1057;&#1069;-46%20&#1084;&#1072;&#1088;&#1090;%202013%20&#1054;&#1040;&#1054;%20&#1069;&#1085;&#1077;&#1088;&#1075;&#1086;&#1089;&#1073;&#1099;&#1090;%20&#1056;&#1086;&#1089;&#1090;&#1086;&#1074;&#1101;&#1085;&#1077;&#1088;&#1075;&#1086;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42;&#1086;&#1083;&#1082;&#1086;&#1074;&#1072;/&#1057;&#1074;&#1086;&#1076;&#1085;&#1099;&#1081;%20&#1072;&#1082;&#1090;%20&#1089;%20&#1056;&#1069;/2013%20&#1075;&#1086;&#1076;/&#1072;&#1087;&#1088;&#1077;&#1083;&#1100;%2013/&#1057;&#1074;&#1086;&#1076;&#1085;&#1099;&#1081;%20&#1072;&#1082;&#1090;%20&#1089;%20&#1052;&#1056;&#1057;&#1050;%20&#1086;&#1090;%2031%20&#1072;&#1087;&#1088;&#1077;&#1083;&#1100;&#1072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53;&#1077;&#1076;&#1086;&#1088;&#1091;&#1073;&#1072;/&#1060;-46_2013/&#1069;&#1085;&#1077;&#1088;&#1075;&#1086;&#1089;&#1073;&#1099;&#1090;%20&#1056;&#1086;&#1089;&#1090;&#1086;&#1074;&#1101;&#1085;&#1077;&#1088;&#1075;&#1086;/&#1072;&#1087;&#1088;&#1077;&#1083;&#1100;/&#1057;&#1069;-46%20&#1072;&#1087;&#1088;&#1077;&#1083;&#1100;%202013%20&#1054;&#1040;&#1054;%20&#1069;&#1085;&#1077;&#1088;&#1075;&#1086;&#1089;&#1073;&#1099;&#1090;%20&#1056;&#1086;&#1089;&#1090;&#1086;&#1074;&#1101;&#1085;&#1077;&#1088;&#1075;&#1086;.xlsb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42;&#1086;&#1083;&#1082;&#1086;&#1074;&#1072;/&#1057;&#1074;&#1086;&#1076;&#1085;&#1099;&#1081;%20&#1072;&#1082;&#1090;%20&#1089;%20&#1056;&#1069;/2013%20&#1075;&#1086;&#1076;/&#1084;&#1072;&#1081;%2013/&#1057;&#1074;&#1086;&#1076;&#1085;&#1099;&#1081;%20&#1072;&#1082;&#1090;%20&#1089;%20&#1052;&#1056;&#1057;&#1050;%20&#1086;&#1090;%2031%20&#1084;&#1072;&#110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53;&#1077;&#1076;&#1086;&#1088;&#1091;&#1073;&#1072;/&#1060;-46_2013/&#1069;&#1085;&#1077;&#1088;&#1075;&#1086;&#1089;&#1073;&#1099;&#1090;%20&#1056;&#1086;&#1089;&#1090;&#1086;&#1074;&#1101;&#1085;&#1077;&#1088;&#1075;&#1086;/&#1084;&#1072;&#1081;/&#1057;&#1069;-46%20&#1084;&#1072;&#1081;%202013%20&#1054;&#1040;&#1054;%20&#1069;&#1085;&#1077;&#1088;&#1075;&#1086;&#1089;&#1073;&#1099;&#1090;%20&#1056;&#1086;&#1089;&#1090;&#1086;&#1074;&#1101;&#1085;&#1077;&#1088;&#1075;&#1086;.xlsb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103;&#1085;&#1074;&#1072;&#1088;&#1100;/&#1057;&#1069;-46%20&#1103;&#1085;&#1074;&#1072;&#1088;&#1100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17%20&#1075;&#1086;&#1076;/&#1052;&#1056;&#1057;&#1050;/&#1057;&#1042;&#1054;&#1044;&#1053;&#1067;&#1049;%20&#1040;&#1050;&#1058;/&#1084;&#1072;&#1088;&#1090;%202017/&#1057;&#1074;&#1086;&#1076;&#1085;&#1099;&#1081;%20&#1072;&#1082;&#1090;%20&#1089;%20&#1052;&#1056;&#1057;&#1050;%20&#1084;&#1072;&#1088;&#109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17/&#1084;&#1072;&#1088;&#1090;/&#1057;&#1069;-46%20&#1084;&#1072;&#1088;&#1090;%202017%20&#1095;&#1080;&#1089;&#1090;&#1072;&#1103;%20+%20&#1087;&#1077;&#1088;&#1077;&#1088;%202017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18/&#1084;&#1072;&#1088;&#1090;/&#1057;&#1069;-46%20&#1084;&#1072;&#1088;&#1090;%202018%20&#1095;&#1080;&#1089;&#1090;&#1072;&#1103;%20+%20&#1087;&#1077;&#1088;&#1077;&#1088;%202018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42;&#1086;&#1083;&#1082;&#1086;&#1074;&#1072;/&#1057;&#1074;&#1086;&#1076;&#1085;&#1099;&#1081;%20&#1072;&#1082;&#1090;%20&#1089;%20&#1056;&#1069;/2013%20&#1075;&#1086;&#1076;/&#1059;&#1055;&#1055;%20&#1069;&#1056;-&#1054;&#1040;&#1054;%20&#1052;&#1056;&#1057;&#1050;%20&#1092;&#1072;&#1082;&#1090;%20201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&#1086;&#1088;&#1084;&#1072;%2046-&#1069;&#1069;%20&#1079;&#1072;%202022%20&#1075;&#1086;&#1076;/&#1103;&#1085;&#1074;&#1072;&#1088;&#1100;/46EE_01_2022.STX(v1.2.1)%20&#1089;&#1086;%20&#1089;&#1074;&#1103;&#1079;&#1103;&#1084;&#1080;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103;&#1085;&#1074;&#1072;&#1088;&#1100;/&#1057;&#1069;-4%20&#1103;&#1085;&#1074;&#1072;&#1088;&#1100;%202022.xlsb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71;&#1085;&#1074;&#1072;&#1088;&#1100;%202022/&#1057;&#1042;&#1054;&#1044;&#1053;&#1067;&#1049;%20&#1040;&#1050;&#1058;%20&#1044;&#1069;%20&#1103;&#1085;&#1074;&#1072;&#1088;&#11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0/&#1085;&#1077;&#1088;&#1072;&#1089;&#1087;&#1088;&#1077;&#1076;&#1077;&#1083;&#1077;&#1085;&#1085;&#1099;&#1077;%20&#1054;&#1044;&#1053;/&#1076;&#1077;&#1082;&#1072;&#1073;&#1088;&#1100;/&#1057;&#1074;&#1086;&#1076;%20&#1085;&#1077;&#1088;&#1072;&#1089;&#1087;&#1088;&#1077;&#1076;%20&#1054;&#1044;&#1053;%20&#1095;&#1080;&#1089;&#1090;+%20&#1087;&#1077;&#1088;&#1077;&#1088;%202020_&#1076;&#1077;&#1082;&#1072;&#1073;&#1088;&#1100;%20&#1076;&#1083;&#1103;%2046-&#1069;&#106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15/&#1076;&#1077;&#1082;&#1072;&#1073;&#1088;&#1100;/&#1057;&#1069;-4%20&#1076;&#1077;&#1082;&#1072;&#1073;&#1088;&#1100;%201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15%20&#1075;&#1086;&#1076;/&#1044;&#1054;&#1053;&#1069;&#1053;&#1045;&#1056;&#1043;&#1054;/&#1057;&#1042;&#1054;&#1044;&#1053;&#1067;&#1049;%20&#1040;&#1050;&#1058;/&#1084;&#1072;&#1088;&#1090;%202015/&#1057;&#1042;&#1054;&#1044;&#1053;&#1067;&#1049;%20&#1040;&#1050;&#1058;%20&#1044;&#1069;%20&#1084;&#1072;&#1088;&#109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0/&#1085;&#1086;&#1103;&#1073;&#1088;&#1100;/&#1057;&#1069;-46%20&#1085;&#1086;&#1103;&#1073;&#1088;&#1100;%202020%20&#1095;&#1080;&#1089;&#1090;&#1072;&#1103;%20+%20&#1087;&#1077;&#1088;&#1077;&#1088;%202020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19/&#1084;&#1072;&#1088;&#1090;/&#1057;&#1069;-4%20&#1084;&#1072;&#1088;&#1090;%202019.xlsb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19/&#1072;&#1074;&#1075;&#1091;&#1089;&#1090;/&#1057;&#1069;-4%20&#1072;&#1074;&#1075;&#1091;&#1089;&#1090;%202019.xlsb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1/&#1103;&#1085;&#1074;&#1072;&#1088;&#1100;/&#1057;&#1069;-4%20&#1103;&#1085;&#1074;&#1072;&#1088;&#1100;%202021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42;&#1086;&#1083;&#1082;&#1086;&#1074;&#1072;/&#1057;&#1074;&#1086;&#1076;&#1085;&#1099;&#1081;%20&#1072;&#1082;&#1090;%20&#1089;%20&#1056;&#1069;/2013%20&#1075;&#1086;&#1076;/&#1059;&#1055;&#1055;%20&#1069;&#1056;-&#1054;&#1040;&#1054;%20&#1044;&#1069;%20&#1060;&#1072;&#1082;&#1090;%20201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19/&#1076;&#1077;&#1082;&#1072;&#1073;&#1088;&#1100;/&#1057;&#1069;-46%20&#1076;&#1077;&#1082;&#1072;&#1073;&#1088;&#1100;%202019%20&#1095;&#1080;&#1089;&#1090;&#1072;&#1103;%20+%20&#1087;&#1077;&#1088;&#1077;&#1088;%202019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19%20&#1075;&#1086;&#1076;/&#1052;&#1056;&#1057;&#1050;%20&#1070;&#1043;&#1040;/&#1059;&#1055;&#1055;/&#1059;&#1055;&#1055;%20&#1069;&#1056;-&#1054;&#1040;&#1054;%20&#1052;&#1056;&#1057;&#1050;%20&#1092;&#1072;&#1082;&#1090;%20201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19%20&#1075;&#1086;&#1076;/&#1052;&#1056;&#1057;&#1050;%20&#1070;&#1043;&#1040;/&#1057;&#1042;&#1054;&#1044;&#1053;&#1067;&#1049;%20&#1040;&#1050;&#1058;/&#1076;&#1077;&#1082;&#1072;&#1073;&#1088;&#1100;%202019/&#1057;&#1074;&#1086;&#1076;%20&#1087;&#1086;%20&#1086;&#1090;&#1076;&#1077;&#1083;&#1077;&#1085;&#1080;&#1103;&#1084;%20&#1076;&#1077;&#1082;&#1072;&#1073;&#1088;&#1100;%20&#1089;%20&#1044;&#106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103;&#1085;&#1074;&#1072;&#1088;&#1100;/&#1057;&#1074;&#1086;&#1076;&#1085;&#1099;&#1081;%20&#1072;&#1082;&#1090;%20&#1089;%20&#1052;&#1056;&#1057;&#1050;%20&#1103;&#1085;&#1074;&#1072;&#1088;&#110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1/&#1076;&#1077;&#1082;&#1072;&#1073;&#1088;&#1100;/&#1057;&#1069;-46%20&#1076;&#1077;&#1082;&#1072;&#1073;&#1088;&#1100;%202021%20&#1095;&#1080;&#1089;&#1090;&#1072;&#1103;%20+%20&#1087;&#1077;&#1088;&#1077;&#1088;%202021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1/&#1076;&#1077;&#1082;&#1072;&#1073;&#1088;&#1100;/&#1057;&#1069;-46%20&#1076;&#1077;&#1082;&#1072;&#1073;&#1088;&#1100;%202021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92;&#1077;&#1074;&#1088;&#1072;&#1083;&#1100;/&#1057;&#1069;-46%20&#1092;&#1077;&#1074;&#1088;&#1072;&#1083;&#1100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&#1086;&#1088;&#1084;&#1072;%2046-&#1069;&#1069;%20&#1079;&#1072;%202022%20&#1075;&#1086;&#1076;/&#1092;&#1077;&#1074;&#1088;&#1072;&#1083;&#1100;/46EE_02_2022.STX(v1.2.1)%20&#1089;&#1086;%20&#1089;&#1074;&#1103;&#1079;&#1103;&#1084;&#1080;.xlsb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092;&#1077;&#1074;&#1088;&#1072;&#1083;&#1100;/&#1057;&#1069;-4%20&#1092;&#1077;&#1074;&#1088;&#1072;&#1083;&#1100;%202022.xlsb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92;&#1077;&#1074;&#1088;&#1072;&#1083;&#1100;%202022/&#1057;&#1042;&#1054;&#1044;&#1053;&#1067;&#1049;%20&#1040;&#1050;&#1058;%20&#1044;&#1069;%20&#1092;&#1077;&#1074;&#1088;&#1072;&#1083;&#110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42;&#1086;&#1083;&#1082;&#1086;&#1074;&#1072;/&#1057;&#1074;&#1086;&#1076;&#1085;&#1099;&#1081;%20&#1072;&#1082;&#1090;%20&#1089;%20&#1056;&#1069;/2013%20&#1075;&#1086;&#1076;/&#1103;&#1085;&#1074;&#1072;&#1088;&#1100;%2013/&#1057;&#1074;&#1086;&#1076;&#1085;&#1099;&#1081;%20&#1072;&#1082;&#1090;%20&#1089;%20&#1052;&#1056;&#1057;&#1050;%20&#1086;&#1090;%2031%20&#1103;&#1085;&#1074;&#1072;&#1088;&#1103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092;&#1077;&#1074;&#1088;&#1072;&#1083;&#1100;/&#1057;&#1074;&#1086;&#1076;&#1085;&#1099;&#1081;%20&#1072;&#1082;&#1090;%20&#1089;%20&#1052;&#1056;&#1057;&#1050;%20&#1092;&#1077;&#1074;&#1088;&#1072;&#1083;&#110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4;&#1072;&#1088;&#1090;/&#1057;&#1069;-46%20&#1084;&#1072;&#1088;&#1090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&#1086;&#1088;&#1084;&#1072;%2046-&#1069;&#1069;%20&#1079;&#1072;%202022%20&#1075;&#1086;&#1076;/&#1084;&#1072;&#1088;&#1090;/46EE_03_2022.STX(v1.2.1)%20&#1089;&#1086;%20&#1089;&#1074;&#1103;&#1079;&#1103;&#1084;&#1080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084;&#1072;&#1088;&#1090;/&#1057;&#1069;-4%20&#1084;&#1072;&#1088;&#1090;%202022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84;&#1072;&#1088;&#1090;%202022/&#1057;&#1042;&#1054;&#1044;&#1053;&#1067;&#1049;%20&#1040;&#1050;&#1058;%20&#1044;&#1069;%20&#1084;&#1072;&#1088;&#1090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052;&#1072;&#1088;&#1090;/&#1057;&#1074;&#1086;&#1076;&#1085;&#1099;&#1081;%20&#1072;&#1082;&#1090;%20&#1089;%20&#1052;&#1056;&#1057;&#1050;%20&#1084;&#1072;&#1088;&#109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4;&#1072;&#1088;&#1090;/&#1057;&#1069;-46%20&#1084;&#1072;&#1088;&#1090;%202022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72;&#1087;&#1088;&#1077;&#1083;&#1100;/&#1057;&#1069;-46%20&#1072;&#1087;&#1088;&#1077;&#1083;&#1100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&#1086;&#1088;&#1084;&#1072;%2046-&#1069;&#1069;%20&#1079;&#1072;%202022%20&#1075;&#1086;&#1076;/&#1072;&#1087;&#1088;&#1077;&#1083;&#1100;/46EE_04_2022.STX(v1.2.1)%20&#1089;&#1086;%20&#1089;&#1074;&#1103;&#1079;&#1103;&#1084;&#1080;.xlsb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072;&#1087;&#1088;&#1077;&#1083;&#1100;/&#1057;&#1069;-4%20&#1072;&#1087;&#1088;&#1077;&#1083;&#1100;%202022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53;&#1077;&#1076;&#1086;&#1088;&#1091;&#1073;&#1072;/&#1060;-46_2013/&#1069;&#1085;&#1077;&#1088;&#1075;&#1086;&#1089;&#1073;&#1099;&#1090;%20&#1056;&#1086;&#1089;&#1090;&#1086;&#1074;&#1101;&#1085;&#1077;&#1088;&#1075;&#1086;/&#1103;&#1085;&#1074;&#1072;&#1088;&#1100;/&#1057;&#1069;-46%20&#1103;&#1085;&#1074;&#1072;&#1088;&#1100;%202013%20&#1054;&#1040;&#1054;%20&#1069;&#1085;&#1077;&#1088;&#1075;&#1086;&#1089;&#1073;&#1099;&#1090;%20&#1056;&#1086;&#1089;&#1090;&#1086;&#1074;&#1101;&#1085;&#1077;&#1088;&#1075;&#1086;.xlsb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72;&#1087;&#1088;&#1077;&#1083;&#1100;%202022/&#1057;&#1042;&#1054;&#1044;&#1053;&#1067;&#1049;%20&#1040;&#1050;&#1058;%20&#1044;&#1069;%20&#1072;&#1087;&#1088;&#1077;&#1083;&#1100;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072;&#1087;&#1088;&#1077;&#1083;&#1100;/&#1057;&#1074;&#1086;&#1076;&#1085;&#1099;&#1081;%20&#1072;&#1082;&#1090;%20&#1089;%20&#1052;&#1056;&#1057;&#1050;%20&#1072;&#1087;&#1088;&#1077;&#1083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72;&#1087;&#1088;&#1077;&#1083;&#1100;/&#1057;&#1069;-46%20&#1072;&#1087;&#1088;&#1077;&#1083;&#1100;%202022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4;&#1072;&#1081;/&#1057;&#1069;-46%20&#1084;&#1072;&#1081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&#1086;&#1088;&#1084;&#1072;%2046-&#1069;&#1069;%20&#1079;&#1072;%202022%20&#1075;&#1086;&#1076;/&#1084;&#1072;&#1081;/46EE_05_2022.STX(v1.2.1)%20&#1089;&#1086;%20&#1089;&#1074;&#1103;&#1079;&#1103;&#1084;&#1080;.xlsb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084;&#1072;&#1081;/&#1057;&#1069;-4%20&#1084;&#1072;&#1081;%202022.xlsb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84;&#1072;&#1081;%202022/&#1057;&#1042;&#1054;&#1044;&#1053;&#1067;&#1049;%20&#1040;&#1050;&#1058;%20&#1044;&#1069;%20&#1084;&#1072;&#1081;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084;&#1072;&#1081;/&#1057;&#1074;&#1086;&#1076;&#1085;&#1099;&#1081;%20&#1072;&#1082;&#1090;%20&#1089;%20&#1052;&#1056;&#1057;&#1050;%20&#1084;&#1072;&#1081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4;&#1072;&#1081;/&#1057;&#1069;-46%20&#1084;&#1072;&#1081;%202022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0;&#1102;&#1085;&#1100;/&#1057;&#1069;-46%20&#1080;&#1102;&#1085;&#1100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2;&#1086;&#1083;&#1082;&#1086;&#1074;&#1072;&#1042;&#1042;/&#1052;&#1086;&#1080;%20&#1076;&#1086;&#1082;&#1091;&#1084;&#1077;&#1085;&#1090;&#1099;/2012%20&#1075;&#1086;&#1076;/46_2012/46_&#1093;&#1093;&#1093;.1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&#1086;&#1088;&#1084;&#1072;%2046-&#1069;&#1069;%20&#1079;&#1072;%202022%20&#1075;&#1086;&#1076;/&#1080;&#1102;&#1085;&#1100;/46EE_06_2022.STX(v1.2.1)%20&#1089;&#1086;%20&#1089;&#1074;&#1103;&#1079;&#1103;&#1084;&#1080;.xlsb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080;&#1102;&#1085;&#1100;/&#1057;&#1069;-4%20&#1080;&#1102;&#1085;&#1100;%202022.xlsb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80;&#1102;&#1085;&#1100;%202022/&#1057;&#1042;&#1054;&#1044;&#1053;&#1067;&#1049;%20&#1040;&#1050;&#1058;%20&#1044;&#1069;%20&#1080;&#1102;&#1085;&#1100;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080;&#1102;&#1085;&#1100;/&#1057;&#1074;&#1086;&#1076;&#1085;&#1099;&#1081;%20&#1072;&#1082;&#1090;%20&#1089;%20&#1052;&#1056;&#1057;&#1050;%20&#1080;&#1102;&#1085;&#1100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0;&#1102;&#1085;&#1100;/&#1057;&#1069;-46%20&#1080;&#1102;&#1085;&#1100;%202022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0;&#1102;&#1083;&#1100;/&#1057;&#1069;-46%20&#1080;&#1102;&#1083;&#1100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&#1086;&#1088;&#1084;&#1072;%2046-&#1069;&#1069;%20&#1079;&#1072;%202022%20&#1075;&#1086;&#1076;/&#1080;&#1102;&#1083;&#1100;/46EE_07_2022.STX.EIAS_export_%20&#1089;&#1086;%20&#1089;&#1074;&#1103;&#1079;&#1103;&#1084;&#1080;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080;&#1102;&#1083;&#1100;/&#1057;&#1069;-4%20&#1080;&#1102;&#1083;&#1100;%202022.xlsb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48;&#1102;&#1083;&#1100;%202022/&#1057;&#1042;&#1054;&#1044;&#1053;&#1067;&#1049;%20&#1040;&#1050;&#1058;%20&#1044;&#1069;%20&#1080;&#1102;&#1083;&#1100;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080;&#1102;&#1083;&#1100;/&#1057;&#1074;&#1086;&#1076;&#1085;&#1099;&#1081;%20&#1072;&#1082;&#1090;%20&#1089;%20&#1052;&#1056;&#1057;&#1050;%20&#1080;&#1102;&#1083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6;&#1083;&#1082;&#1086;&#1074;&#1072;\&#1057;&#1074;&#1086;&#1076;&#1085;&#1099;&#1081;%20&#1072;&#1082;&#1090;%20&#1089;%20&#1056;&#1069;\2012%20&#1075;&#1086;&#1076;\&#1103;&#1085;&#1074;&#1072;&#1088;&#1100;\&#1057;&#1074;&#1086;&#1076;%20&#1087;&#1086;%20&#1086;&#1090;&#1076;&#1077;&#1083;&#1077;&#1085;&#1080;&#1103;&#1084;%20&#1103;&#1085;&#1074;&#1072;&#1088;&#1100;%20&#1089;%20&#1044;&#106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0;&#1102;&#1083;&#1100;/&#1057;&#1069;-46%20&#1080;&#1102;&#1083;&#1100;%202022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72;&#1074;&#1075;&#1091;&#1089;&#1090;/&#1057;&#1069;-46%20&#1072;&#1074;&#1075;&#1091;&#1089;&#1090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&#1086;&#1088;&#1084;&#1072;%2046-&#1069;&#1069;%20&#1079;&#1072;%202022%20&#1075;&#1086;&#1076;/&#1072;&#1074;&#1075;&#1091;&#1089;&#1090;/46EE_08_2022.STX.EIAS_export_%20&#1089;&#1086;%20&#1089;&#1074;&#1103;&#1079;&#1103;&#1084;&#1080;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072;&#1074;&#1075;&#1091;&#1089;&#1090;/&#1057;&#1069;-4%20&#1072;&#1074;&#1075;&#1091;&#1089;&#1090;%202022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72;&#1074;&#1075;&#1091;&#1089;&#1090;%202022/&#1057;&#1042;&#1054;&#1044;&#1053;&#1067;&#1049;%20&#1040;&#1050;&#1058;%20&#1044;&#1069;%20&#1072;&#1074;&#1075;&#1091;&#1089;&#1090;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072;&#1074;&#1075;&#1091;&#1089;&#1090;/&#1057;&#1074;&#1086;&#1076;&#1085;&#1099;&#1081;%20&#1072;&#1082;&#1090;%20&#1089;%20&#1052;&#1056;&#1057;&#1050;%20&#1072;&#1074;&#1075;&#1091;&#1089;&#109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72;&#1074;&#1075;&#1091;&#1089;&#1090;/&#1057;&#1069;-46%20&#1072;&#1074;&#1075;&#1091;&#1089;&#1090;%202022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9;&#1077;&#1085;&#1090;&#1103;&#1073;&#1088;&#1100;/&#1057;&#1069;-46%20&#1089;&#1077;&#1085;&#1090;&#1103;&#1073;&#1088;&#1100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&#1086;&#1088;&#1084;&#1072;%2046-&#1069;&#1069;%20&#1079;&#1072;%202022%20&#1075;&#1086;&#1076;/&#1089;&#1077;&#1085;&#1090;&#1103;&#1073;&#1088;&#1100;/46EE_09_2022.STX.EIAS_export_%20&#1089;&#1086;%20&#1089;&#1074;&#1103;&#1079;&#1103;&#1084;&#1080;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089;&#1077;&#1085;&#1090;&#1103;&#1073;&#1088;&#1100;/&#1057;&#1069;-4%20&#1089;&#1077;&#1085;&#1090;&#1103;&#1073;&#1088;&#1100;%202022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42;&#1086;&#1083;&#1082;&#1086;&#1074;&#1072;/&#1057;&#1074;&#1086;&#1076;&#1085;&#1099;&#1081;%20&#1072;&#1082;&#1090;%20&#1089;%20&#1056;&#1069;/2013%20&#1075;&#1086;&#1076;/&#1092;&#1077;&#1074;&#1088;&#1072;&#1083;&#1100;%2013/&#1057;&#1074;&#1086;&#1076;&#1085;&#1099;&#1081;%20&#1072;&#1082;&#1090;%20&#1089;%20&#1052;&#1056;&#1057;&#1050;%20&#1086;&#1090;%2028%20&#1092;&#1077;&#1074;&#1088;&#1072;&#1083;&#1103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89;&#1077;&#1085;&#1090;&#1103;&#1073;&#1088;&#1100;%202022/&#1057;&#1042;&#1054;&#1044;&#1053;&#1067;&#1049;%20&#1040;&#1050;&#1058;%20&#1044;&#1069;%20&#1089;&#1077;&#1085;&#1090;&#1103;&#1073;&#1088;&#1100;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089;&#1077;&#1085;&#1090;&#1103;&#1073;&#1088;&#1100;/&#1057;&#1074;&#1086;&#1076;&#1085;&#1099;&#1081;%20&#1072;&#1082;&#1090;%20&#1089;%20&#1052;&#1056;&#1057;&#1050;%20&#1089;&#1077;&#1085;&#1090;&#1103;&#1073;&#1088;&#110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9;&#1077;&#1085;&#1090;&#1103;&#1073;&#1088;&#1100;/&#1057;&#1069;-46%20&#1089;&#1077;&#1085;&#1090;&#1103;&#1073;&#1088;&#1100;%202022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6;&#1082;&#1090;&#1103;&#1073;&#1088;&#1100;/&#1057;&#1069;-46%20&#1086;&#1082;&#1090;&#1103;&#1073;&#1088;&#1100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&#1086;&#1088;&#1084;&#1072;%2046-&#1069;&#1069;%20&#1079;&#1072;%202022%20&#1075;&#1086;&#1076;/&#1086;&#1082;&#1090;&#1103;&#1073;&#1088;&#1100;/46EE_10_2022.STX.EIAS_export_%20&#1089;&#1086;%20&#1089;&#1074;&#1103;&#1079;&#1103;&#1084;&#1080;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086;&#1082;&#1090;&#1103;&#1073;&#1088;&#1100;/&#1057;&#1069;-4%20&#1086;&#1082;&#1090;&#1103;&#1073;&#1088;&#1100;%202022.xlsb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86;&#1082;&#1090;&#1103;&#1073;&#1088;&#1100;%202022/&#1057;&#1042;&#1054;&#1044;&#1053;&#1067;&#1049;%20&#1040;&#1050;&#1058;%20&#1044;&#1069;%20&#1086;&#1082;&#1090;&#1103;&#1073;&#1088;&#1100;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086;&#1082;&#1090;&#1103;&#1073;&#1088;&#1100;/&#1057;&#1074;&#1086;&#1076;&#1085;&#1099;&#1081;%20&#1072;&#1082;&#1090;%20&#1089;%20&#1052;&#1056;&#1057;&#1050;%20&#1086;&#1082;&#1090;&#1103;&#1073;&#1088;&#1100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6;&#1082;&#1090;&#1103;&#1073;&#1088;&#1100;/&#1057;&#1069;-46%20&#1086;&#1082;&#1090;&#1103;&#1073;&#1088;&#1100;%202022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5;&#1086;&#1103;&#1073;&#1088;&#1100;/&#1057;&#1069;-46%20&#1085;&#1086;&#1103;&#1073;&#1088;&#1100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88;&#1077;&#1072;&#1083;&#1080;&#1079;&#1072;&#1094;&#1080;&#1080;/&#1053;&#1077;&#1076;&#1086;&#1088;&#1091;&#1073;&#1072;/&#1060;-46_2013/&#1069;&#1085;&#1077;&#1088;&#1075;&#1086;&#1089;&#1073;&#1099;&#1090;%20&#1056;&#1086;&#1089;&#1090;&#1086;&#1074;&#1101;&#1085;&#1077;&#1088;&#1075;&#1086;/&#1092;&#1077;&#1074;&#1088;&#1072;&#1083;&#1100;/&#1057;&#1069;-46%20&#1092;&#1077;&#1074;&#1088;&#1072;&#1083;&#1100;%202013%20&#1054;&#1040;&#1054;%20&#1069;&#1085;&#1077;&#1088;&#1075;&#1086;&#1089;&#1073;&#1099;&#1090;%20&#1056;&#1086;&#1089;&#1090;&#1086;&#1074;&#1101;&#1085;&#1077;&#1088;&#1075;&#1086;.xlsb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&#1086;&#1088;&#1084;&#1072;%2046-&#1069;&#1069;%20&#1079;&#1072;%202022%20&#1075;&#1086;&#1076;/&#1085;&#1086;&#1103;&#1073;&#1088;&#1100;/46EE_11_2022.STX.EIAS_export_%20&#1089;&#1086;%20&#1089;&#1074;&#1103;&#1079;&#1103;&#1084;&#1080;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085;&#1086;&#1103;&#1073;&#1088;&#1100;/&#1057;&#1069;-4%20&#1085;&#1086;&#1103;&#1073;&#1088;&#1100;%202022.xlsb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85;&#1086;&#1103;&#1073;&#1088;&#1100;%202022/&#1057;&#1042;&#1054;&#1044;&#1053;&#1067;&#1049;%20&#1040;&#1050;&#1058;%20&#1044;&#1069;%20&#1085;&#1086;&#1103;&#1073;&#1088;&#1100;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085;&#1086;&#1103;&#1073;&#1088;&#1100;/&#1057;&#1074;&#1086;&#1076;&#1085;&#1099;&#1081;%20&#1072;&#1082;&#1090;%20&#1089;%20&#1052;&#1056;&#1057;&#1050;%20&#1085;&#1086;&#1103;&#1073;&#1088;&#1100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85;&#1086;&#1103;&#1073;&#1088;&#1100;/&#1057;&#1069;-46%20&#1085;&#1086;&#1103;&#1073;&#1088;&#1100;%202022%20&#1095;&#1080;&#1089;&#1090;&#1072;&#1103;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2/&#1076;&#1077;&#1082;&#1072;&#1073;&#1088;&#1100;/&#1057;&#1069;-46%20&#1076;&#1077;&#1082;&#1072;&#1073;&#1088;&#1100;%202022%20&#1095;&#1080;&#1089;&#1090;&#1072;&#1103;%20+%20&#1087;&#1077;&#1088;&#1077;&#1088;%202022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46;&#1091;&#1088;&#1072;&#1074;&#1089;&#1082;&#1072;&#1103;/&#1087;&#1086;%20&#1089;&#1077;&#1090;&#1103;&#1084;%202022/&#1076;&#1077;&#1082;&#1072;&#1073;&#1088;&#1100;/&#1057;&#1069;-4%20&#1076;&#1077;&#1082;&#1072;&#1073;&#1088;&#1100;%202022.xlsb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44;&#1054;&#1053;&#1069;&#1053;&#1045;&#1056;&#1043;&#1054;/&#1057;&#1042;&#1054;&#1044;&#1053;&#1067;&#1049;%20&#1040;&#1050;&#1058;/&#1044;&#1077;&#1082;&#1072;&#1073;&#1088;&#1100;%202022/&#1057;&#1042;&#1054;&#1044;&#1053;&#1067;&#1049;%20&#1040;&#1050;&#1058;%20&#1044;&#1069;%20&#1076;&#1077;&#1082;&#1072;&#1073;&#1088;&#1100;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60;-46_2020/&#1076;&#1077;&#1082;&#1072;&#1073;&#1088;&#1100;/&#1057;&#1069;-46%20&#1076;&#1077;&#1082;&#1072;&#1073;&#1088;&#1100;%202020%20&#1095;&#1080;&#1089;&#1090;&#1072;&#1103;%20+%20&#1087;&#1077;&#1088;&#1077;&#1088;%202020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7;&#1054;&#1080;&#1040;/&#1053;&#1077;&#1076;&#1086;&#1088;&#1091;&#1073;&#1072;/&#1059;&#1057;&#1051;&#1059;&#1043;&#1048;%20&#1055;&#1054;&#1058;&#1045;&#1056;&#1048;%20(&#1088;&#1072;&#1079;&#1085;&#1086;&#1075;&#1083;&#1072;&#1089;&#1080;&#1103;,%20&#1087;&#1086;&#1076;&#1085;&#1077;&#1074;&#1082;&#1072;)/2022%20&#1075;&#1086;&#1076;/&#1056;&#1054;&#1057;&#1057;&#1045;&#1058;&#1048;%20&#1070;&#1043;/&#1057;&#1042;&#1054;&#1044;&#1053;&#1067;&#1049;%20&#1040;&#1050;&#1058;/&#1044;&#1077;&#1082;&#1072;&#1073;&#1088;&#1100;/&#1057;&#1074;&#1086;&#1076;&#1085;&#1099;&#1081;%20&#1072;&#1082;&#1090;%20&#1089;%20&#1052;&#1056;&#1057;&#1050;%20&#1076;&#1077;&#1082;&#1072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1"/>
    </sheetNames>
    <sheetDataSet>
      <sheetData sheetId="0"/>
      <sheetData sheetId="1">
        <row r="7">
          <cell r="D7">
            <v>447121</v>
          </cell>
        </row>
      </sheetData>
      <sheetData sheetId="2">
        <row r="7">
          <cell r="D7">
            <v>569600</v>
          </cell>
        </row>
      </sheetData>
      <sheetData sheetId="3">
        <row r="7">
          <cell r="D7">
            <v>731598</v>
          </cell>
        </row>
      </sheetData>
      <sheetData sheetId="4">
        <row r="7">
          <cell r="D7">
            <v>428463</v>
          </cell>
        </row>
      </sheetData>
      <sheetData sheetId="5">
        <row r="7">
          <cell r="D7">
            <v>311788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"/>
      <sheetName val="Лист1"/>
      <sheetName val="Сводный акт с МРСК наш"/>
      <sheetName val="Протокол разногласий"/>
      <sheetName val="Акт наш вариант "/>
      <sheetName val="распределение потерь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E18">
            <v>11076</v>
          </cell>
        </row>
      </sheetData>
      <sheetData sheetId="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174589875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1"/>
      <sheetName val="Сводный акт с МРСК наш"/>
      <sheetName val="Протокол разногласий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9037113</v>
          </cell>
        </row>
      </sheetData>
      <sheetData sheetId="6"/>
      <sheetData sheetId="7"/>
      <sheetData sheetId="8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7">
          <cell r="C7">
            <v>425214585</v>
          </cell>
        </row>
        <row r="31">
          <cell r="C31">
            <v>137601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9037113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448">
          <cell r="C6448">
            <v>68472239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448">
          <cell r="C6448">
            <v>68463506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год"/>
      <sheetName val="Рычковой"/>
      <sheetName val="8 мес факт"/>
      <sheetName val="Сов.рынка"/>
      <sheetName val="7 мес 2021"/>
      <sheetName val="1ПГ 2021"/>
      <sheetName val="к совещанию19.05.21(1кв+прог)"/>
      <sheetName val="к совещанию 26.05.21(4м+прог)"/>
      <sheetName val="рост населения 20к19 2полугодие"/>
      <sheetName val="средняя t 2019-2021 по апрель"/>
      <sheetName val="погода для спб"/>
      <sheetName val="7 мес "/>
    </sheetNames>
    <sheetDataSet>
      <sheetData sheetId="0"/>
      <sheetData sheetId="1">
        <row r="20">
          <cell r="L20">
            <v>416.9855375539999</v>
          </cell>
        </row>
        <row r="21">
          <cell r="L21">
            <v>382.18184651200005</v>
          </cell>
        </row>
        <row r="22">
          <cell r="L22">
            <v>367.366113595</v>
          </cell>
        </row>
        <row r="23">
          <cell r="L23">
            <v>362.02522214800001</v>
          </cell>
        </row>
        <row r="24">
          <cell r="L24">
            <v>327.10083346399995</v>
          </cell>
        </row>
        <row r="25">
          <cell r="L25">
            <v>322.70672252300005</v>
          </cell>
        </row>
        <row r="26">
          <cell r="L26">
            <v>418.29166795000003</v>
          </cell>
        </row>
        <row r="27">
          <cell r="L27">
            <v>427.64287166600013</v>
          </cell>
        </row>
        <row r="28">
          <cell r="L28">
            <v>331.50884790300006</v>
          </cell>
        </row>
        <row r="29">
          <cell r="L29">
            <v>367.08577350700006</v>
          </cell>
        </row>
        <row r="30">
          <cell r="L30">
            <v>375.35094855199998</v>
          </cell>
        </row>
        <row r="31">
          <cell r="L31">
            <v>349.18600393300011</v>
          </cell>
        </row>
        <row r="33">
          <cell r="L33">
            <v>509.50957592899988</v>
          </cell>
        </row>
        <row r="34">
          <cell r="L34">
            <v>503.6546804809999</v>
          </cell>
        </row>
        <row r="35">
          <cell r="L35">
            <v>517.60883269200019</v>
          </cell>
        </row>
        <row r="36">
          <cell r="L36">
            <v>448.14397378400002</v>
          </cell>
        </row>
        <row r="37">
          <cell r="L37">
            <v>413.16718116360011</v>
          </cell>
        </row>
        <row r="38">
          <cell r="L38">
            <v>438.57840112600007</v>
          </cell>
        </row>
        <row r="39">
          <cell r="L39">
            <v>508.38038098799996</v>
          </cell>
        </row>
        <row r="40">
          <cell r="L40">
            <v>479.35746860899985</v>
          </cell>
        </row>
        <row r="41">
          <cell r="L41">
            <v>420.12125717900005</v>
          </cell>
        </row>
        <row r="42">
          <cell r="L42">
            <v>463.26642209999977</v>
          </cell>
        </row>
        <row r="43">
          <cell r="L43">
            <v>496.08878649299993</v>
          </cell>
        </row>
        <row r="44">
          <cell r="L44">
            <v>518.21085489299981</v>
          </cell>
        </row>
        <row r="46">
          <cell r="L46">
            <v>229.00967</v>
          </cell>
        </row>
        <row r="47">
          <cell r="L47">
            <v>200.453834</v>
          </cell>
        </row>
        <row r="48">
          <cell r="L48">
            <v>247.24632399999999</v>
          </cell>
        </row>
        <row r="49">
          <cell r="L49">
            <v>151.42433799999998</v>
          </cell>
        </row>
        <row r="50">
          <cell r="L50">
            <v>118.57742500000001</v>
          </cell>
        </row>
        <row r="51">
          <cell r="L51">
            <v>136.70220399999999</v>
          </cell>
        </row>
        <row r="52">
          <cell r="L52">
            <v>200.25752700000001</v>
          </cell>
        </row>
        <row r="53">
          <cell r="L53">
            <v>145.58938999599999</v>
          </cell>
        </row>
        <row r="54">
          <cell r="L54">
            <v>103.784401</v>
          </cell>
        </row>
        <row r="55">
          <cell r="L55">
            <v>201.68312700000001</v>
          </cell>
        </row>
        <row r="56">
          <cell r="L56">
            <v>194.19942299900001</v>
          </cell>
        </row>
        <row r="57">
          <cell r="L57">
            <v>326.197022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"/>
      <sheetName val="Лист1"/>
      <sheetName val="Протокол разногласий"/>
      <sheetName val="Акт наш вариант "/>
      <sheetName val="распределение потерь"/>
    </sheetNames>
    <sheetDataSet>
      <sheetData sheetId="0"/>
      <sheetData sheetId="1"/>
      <sheetData sheetId="2"/>
      <sheetData sheetId="3">
        <row r="53">
          <cell r="B53">
            <v>73163262</v>
          </cell>
        </row>
      </sheetData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ЦМО"/>
      <sheetName val="ЗМО"/>
      <sheetName val="ВМО"/>
      <sheetName val="ЮМО"/>
      <sheetName val="ЮЗМО"/>
      <sheetName val="СВМО"/>
      <sheetName val="ЮВМО"/>
      <sheetName val="СМО"/>
      <sheetName val="АУП"/>
      <sheetName val="неотк"/>
      <sheetName val="справочно СВОД"/>
      <sheetName val="справочно ЦМО"/>
      <sheetName val="справочно ЗМО"/>
      <sheetName val="справочно ВМО"/>
      <sheetName val="справочно ЮМО"/>
      <sheetName val="справочно ЮЗМО"/>
      <sheetName val="справочно СВМО"/>
      <sheetName val="справочно ЮВМО"/>
      <sheetName val="справочно СМО"/>
      <sheetName val="справочно АУП"/>
    </sheetNames>
    <sheetDataSet>
      <sheetData sheetId="0">
        <row r="15">
          <cell r="C15">
            <v>413614208.64635992</v>
          </cell>
        </row>
        <row r="2380">
          <cell r="C2380">
            <v>115056</v>
          </cell>
        </row>
        <row r="2549">
          <cell r="I2549">
            <v>731598</v>
          </cell>
        </row>
        <row r="2567">
          <cell r="P2567">
            <v>524357</v>
          </cell>
        </row>
        <row r="2568">
          <cell r="M2568">
            <v>142858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C11">
            <v>1064764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"/>
      <sheetName val="Лист1"/>
      <sheetName val="Сводный акт с МРСК наш"/>
      <sheetName val="Протокол разногласий"/>
      <sheetName val="Акт наш вариант "/>
      <sheetName val="распределение потерь"/>
      <sheetName val="пример разбивка на 4 мес.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E18">
            <v>385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ерекрутка"/>
      <sheetName val="старый СВОД"/>
      <sheetName val="ЦМО"/>
      <sheetName val="ЗМО"/>
      <sheetName val="ВМО"/>
      <sheetName val="ЮМО"/>
      <sheetName val="ЮЗМО"/>
      <sheetName val="СВМО"/>
      <sheetName val="ЮВМО"/>
      <sheetName val="СМО"/>
      <sheetName val="АУП"/>
      <sheetName val="неотк"/>
      <sheetName val="справочно СВОД"/>
      <sheetName val="справочно ЦМО"/>
      <sheetName val="справочно ЗМО"/>
      <sheetName val="справочно ВМО"/>
      <sheetName val="справочно ЮМО"/>
      <sheetName val="справочно ЮЗМО"/>
      <sheetName val="справочно СВМО"/>
      <sheetName val="справочно ЮВМО"/>
      <sheetName val="справочно СМО"/>
      <sheetName val="справочно АУП"/>
    </sheetNames>
    <sheetDataSet>
      <sheetData sheetId="0">
        <row r="15">
          <cell r="C15">
            <v>378084422.00333303</v>
          </cell>
        </row>
        <row r="254">
          <cell r="C254">
            <v>456555</v>
          </cell>
        </row>
        <row r="263">
          <cell r="C263">
            <v>364414</v>
          </cell>
        </row>
        <row r="272">
          <cell r="C272">
            <v>30233</v>
          </cell>
        </row>
        <row r="2092">
          <cell r="C2092">
            <v>106584354</v>
          </cell>
        </row>
        <row r="2380">
          <cell r="C2380">
            <v>90491</v>
          </cell>
        </row>
        <row r="2549">
          <cell r="G2549">
            <v>142960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C11">
            <v>836213</v>
          </cell>
        </row>
      </sheetData>
      <sheetData sheetId="13">
        <row r="1052">
          <cell r="C1052">
            <v>98582526</v>
          </cell>
        </row>
        <row r="1088">
          <cell r="C1088">
            <v>1132030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"/>
      <sheetName val="Лист1"/>
      <sheetName val="Сводный акт с МРСК наш"/>
      <sheetName val="Протокол разногласий"/>
      <sheetName val="Акт наш вариант "/>
      <sheetName val="распределение потерь"/>
      <sheetName val="пример разбивка на 4 мес."/>
    </sheetNames>
    <sheetDataSet>
      <sheetData sheetId="0"/>
      <sheetData sheetId="1"/>
      <sheetData sheetId="2"/>
      <sheetData sheetId="3"/>
      <sheetData sheetId="4">
        <row r="18">
          <cell r="E18">
            <v>1401</v>
          </cell>
        </row>
      </sheetData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ерекрутка"/>
      <sheetName val="старый СВОД"/>
      <sheetName val="ЦМО"/>
      <sheetName val="ЗМО"/>
      <sheetName val="ВМО"/>
      <sheetName val="ЮМО"/>
      <sheetName val="ЮЗМО"/>
      <sheetName val="СВМО"/>
      <sheetName val="ЮВМО"/>
      <sheetName val="СМО"/>
      <sheetName val="АУП"/>
      <sheetName val="неотк"/>
      <sheetName val="справочно СВОД"/>
      <sheetName val="справочно ЦМО"/>
      <sheetName val="справочно ЗМО"/>
      <sheetName val="справочно ВМО"/>
      <sheetName val="справочно ЮМО"/>
      <sheetName val="справочно ЮЗМО"/>
      <sheetName val="справочно СВМО"/>
      <sheetName val="справочно ЮВМО"/>
      <sheetName val="справочно СМО"/>
      <sheetName val="справочно АУП"/>
    </sheetNames>
    <sheetDataSet>
      <sheetData sheetId="0">
        <row r="15">
          <cell r="C15">
            <v>343318012</v>
          </cell>
        </row>
        <row r="254">
          <cell r="C254">
            <v>383883</v>
          </cell>
        </row>
        <row r="263">
          <cell r="C263">
            <v>323137</v>
          </cell>
        </row>
        <row r="272">
          <cell r="C272">
            <v>27166</v>
          </cell>
        </row>
        <row r="2092">
          <cell r="C2092">
            <v>95136182.496910006</v>
          </cell>
        </row>
        <row r="2380">
          <cell r="C2380">
            <v>92596</v>
          </cell>
        </row>
        <row r="2549">
          <cell r="G2549">
            <v>139320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>
            <v>7519305</v>
          </cell>
        </row>
      </sheetData>
      <sheetData sheetId="13">
        <row r="1052">
          <cell r="C1052">
            <v>74161365</v>
          </cell>
        </row>
        <row r="1088">
          <cell r="C1088">
            <v>1681582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  <sheetName val="СЭ-46 январь 2022 чистая + пере"/>
    </sheetNames>
    <sheetDataSet>
      <sheetData sheetId="0">
        <row r="11">
          <cell r="C11">
            <v>1193237981.914</v>
          </cell>
        </row>
        <row r="1255">
          <cell r="E1255">
            <v>113801797</v>
          </cell>
          <cell r="F1255">
            <v>236742</v>
          </cell>
          <cell r="G1255">
            <v>5655104</v>
          </cell>
          <cell r="H1255">
            <v>107687951</v>
          </cell>
        </row>
        <row r="4561">
          <cell r="E4561">
            <v>82121900</v>
          </cell>
          <cell r="F4561">
            <v>19961680</v>
          </cell>
          <cell r="G4561">
            <v>263773053.75599998</v>
          </cell>
          <cell r="H4561">
            <v>105490362.39999999</v>
          </cell>
        </row>
        <row r="4562">
          <cell r="E4562">
            <v>49300175</v>
          </cell>
          <cell r="F4562">
            <v>6910684</v>
          </cell>
          <cell r="G4562">
            <v>1204976</v>
          </cell>
          <cell r="H4562">
            <v>202897</v>
          </cell>
        </row>
        <row r="4564">
          <cell r="E4564">
            <v>3079588.9999999995</v>
          </cell>
          <cell r="F4564">
            <v>906074</v>
          </cell>
          <cell r="G4564">
            <v>47770091.101999991</v>
          </cell>
          <cell r="H4564">
            <v>385134905.65600002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E8641">
            <v>863425</v>
          </cell>
          <cell r="G8641">
            <v>2176369</v>
          </cell>
          <cell r="H8641">
            <v>104435473</v>
          </cell>
        </row>
        <row r="8709">
          <cell r="C8709">
            <v>665727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"/>
      <sheetName val="Потери ТСО"/>
      <sheetName val="Лист1"/>
      <sheetName val="Сводный акт с МРСК наш"/>
      <sheetName val="Протокол разногласий"/>
      <sheetName val="по балансу свод"/>
      <sheetName val="Акт наш вариант "/>
      <sheetName val="распределение потерь Таганрогэн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C17">
            <v>0</v>
          </cell>
        </row>
      </sheetData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  <sheetName val="май 2013"/>
      <sheetName val="март 2013"/>
      <sheetName val="февраль 2013"/>
      <sheetName val="январь 2013"/>
      <sheetName val="декабрь 2012"/>
      <sheetName val="ноябрь 2012"/>
      <sheetName val="октябрь 2012"/>
      <sheetName val="сентябрь 2012"/>
      <sheetName val="июль 2012"/>
      <sheetName val="март 2012"/>
      <sheetName val="февраль 2012"/>
      <sheetName val="январь 2012"/>
      <sheetName val="декабрь 2011"/>
      <sheetName val="ноябрь 2011"/>
      <sheetName val="октябрь 2011"/>
      <sheetName val="май 2011"/>
      <sheetName val="апрель 2011"/>
      <sheetName val="сентябрь 2010"/>
      <sheetName val="2011 "/>
      <sheetName val="2010"/>
      <sheetName val="декабрь 2010"/>
      <sheetName val="ноябрь 2010"/>
      <sheetName val="октябрь 2010"/>
      <sheetName val="сентябрь 2010-1"/>
      <sheetName val="август 2010"/>
      <sheetName val="июль 2010"/>
      <sheetName val="июнь 2010"/>
      <sheetName val="май 2010"/>
      <sheetName val="март 2010"/>
      <sheetName val="апрель 2010"/>
      <sheetName val="февраль 2010"/>
      <sheetName val="январь 2010"/>
    </sheetNames>
    <sheetDataSet>
      <sheetData sheetId="0">
        <row r="2147">
          <cell r="D2147">
            <v>0</v>
          </cell>
        </row>
        <row r="3358">
          <cell r="D335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  <sheetName val="май 2013"/>
      <sheetName val="март 2013"/>
      <sheetName val="февраль 2013"/>
      <sheetName val="январь 2013"/>
      <sheetName val="декабрь 2012"/>
      <sheetName val="ноябрь 2012"/>
      <sheetName val="октябрь 2012"/>
      <sheetName val="сентябрь 2012"/>
      <sheetName val="июль 2012"/>
      <sheetName val="март 2012"/>
      <sheetName val="февраль 2012"/>
      <sheetName val="январь 2012"/>
      <sheetName val="декабрь 2011"/>
      <sheetName val="ноябрь 2011"/>
      <sheetName val="октябрь 2011"/>
      <sheetName val="май 2011"/>
      <sheetName val="апрель 2011"/>
      <sheetName val="сентябрь 2010"/>
      <sheetName val="2011 "/>
      <sheetName val="2010"/>
      <sheetName val="декабрь 2010"/>
      <sheetName val="ноябрь 2010"/>
      <sheetName val="октябрь 2010"/>
      <sheetName val="сентябрь 2010-1"/>
      <sheetName val="август 2010"/>
      <sheetName val="июль 2010"/>
      <sheetName val="июнь 2010"/>
      <sheetName val="май 2010"/>
      <sheetName val="март 2010"/>
      <sheetName val="апрель 2010"/>
      <sheetName val="февраль 2010"/>
      <sheetName val="январь 2010"/>
    </sheetNames>
    <sheetDataSet>
      <sheetData sheetId="0">
        <row r="18">
          <cell r="D18">
            <v>0</v>
          </cell>
        </row>
        <row r="171">
          <cell r="D17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орр-ки в 2013г. за прошлы пер."/>
    </sheetNames>
    <sheetDataSet>
      <sheetData sheetId="0"/>
      <sheetData sheetId="1" refreshError="1">
        <row r="52">
          <cell r="E52">
            <v>50368035</v>
          </cell>
          <cell r="F52">
            <v>97514517</v>
          </cell>
          <cell r="G52">
            <v>765856</v>
          </cell>
        </row>
        <row r="53">
          <cell r="E53">
            <v>4591876</v>
          </cell>
          <cell r="F53">
            <v>27057741</v>
          </cell>
          <cell r="G53">
            <v>465764</v>
          </cell>
        </row>
        <row r="54">
          <cell r="E54">
            <v>3534126</v>
          </cell>
          <cell r="F54">
            <v>97712785</v>
          </cell>
          <cell r="G54">
            <v>12326116</v>
          </cell>
        </row>
        <row r="55">
          <cell r="E55">
            <v>137001</v>
          </cell>
          <cell r="F55">
            <v>45552216</v>
          </cell>
          <cell r="G55">
            <v>86373840</v>
          </cell>
        </row>
      </sheetData>
      <sheetData sheetId="2" refreshError="1">
        <row r="52">
          <cell r="E52">
            <v>49938963</v>
          </cell>
          <cell r="F52">
            <v>88016568</v>
          </cell>
          <cell r="G52">
            <v>742701</v>
          </cell>
        </row>
        <row r="53">
          <cell r="E53">
            <v>4240335</v>
          </cell>
          <cell r="F53">
            <v>23657347</v>
          </cell>
          <cell r="G53">
            <v>436353</v>
          </cell>
        </row>
        <row r="54">
          <cell r="E54">
            <v>2997379</v>
          </cell>
          <cell r="F54">
            <v>92386420</v>
          </cell>
          <cell r="G54">
            <v>12579089</v>
          </cell>
        </row>
        <row r="55">
          <cell r="E55">
            <v>124578</v>
          </cell>
          <cell r="F55">
            <v>40719493</v>
          </cell>
          <cell r="G55">
            <v>97855764</v>
          </cell>
        </row>
      </sheetData>
      <sheetData sheetId="3" refreshError="1">
        <row r="52">
          <cell r="E52">
            <v>40649909</v>
          </cell>
          <cell r="F52">
            <v>95956743</v>
          </cell>
          <cell r="G52">
            <v>721214</v>
          </cell>
        </row>
        <row r="53">
          <cell r="E53">
            <v>4895715</v>
          </cell>
          <cell r="F53">
            <v>26974857</v>
          </cell>
          <cell r="G53">
            <v>471940</v>
          </cell>
        </row>
        <row r="54">
          <cell r="E54">
            <v>3662518</v>
          </cell>
          <cell r="F54">
            <v>89842136</v>
          </cell>
          <cell r="G54">
            <v>10870787</v>
          </cell>
        </row>
        <row r="55">
          <cell r="E55">
            <v>114549</v>
          </cell>
          <cell r="F55">
            <v>39784222</v>
          </cell>
          <cell r="G55">
            <v>95666476</v>
          </cell>
        </row>
      </sheetData>
      <sheetData sheetId="4" refreshError="1">
        <row r="52">
          <cell r="E52">
            <v>33956079</v>
          </cell>
          <cell r="F52">
            <v>51678522.000000007</v>
          </cell>
          <cell r="G52">
            <v>533203</v>
          </cell>
        </row>
        <row r="53">
          <cell r="E53">
            <v>3588067</v>
          </cell>
          <cell r="F53">
            <v>16500192</v>
          </cell>
          <cell r="G53">
            <v>347621</v>
          </cell>
        </row>
        <row r="54">
          <cell r="E54">
            <v>3199056</v>
          </cell>
          <cell r="F54">
            <v>57238573.000000007</v>
          </cell>
          <cell r="G54">
            <v>10433785</v>
          </cell>
        </row>
        <row r="55">
          <cell r="E55">
            <v>103535</v>
          </cell>
          <cell r="F55">
            <v>95876993.999999985</v>
          </cell>
          <cell r="G55">
            <v>94491762</v>
          </cell>
        </row>
      </sheetData>
      <sheetData sheetId="5" refreshError="1">
        <row r="52">
          <cell r="E52">
            <v>28619486</v>
          </cell>
          <cell r="F52">
            <v>47572518.000000015</v>
          </cell>
          <cell r="G52">
            <v>337674</v>
          </cell>
        </row>
        <row r="53">
          <cell r="E53">
            <v>2764625</v>
          </cell>
          <cell r="F53">
            <v>14965037</v>
          </cell>
          <cell r="G53">
            <v>202010</v>
          </cell>
        </row>
        <row r="54">
          <cell r="E54">
            <v>3385045</v>
          </cell>
          <cell r="F54">
            <v>49528890.000000007</v>
          </cell>
          <cell r="G54">
            <v>8916455</v>
          </cell>
        </row>
        <row r="55">
          <cell r="E55">
            <v>94910</v>
          </cell>
          <cell r="F55">
            <v>92093313</v>
          </cell>
          <cell r="G55">
            <v>84873698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estr"/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HTTP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ListProv"/>
      <sheetName val="modButton"/>
      <sheetName val="modInstruction"/>
      <sheetName val="REESTR_ORG"/>
      <sheetName val="REESTR_FIL"/>
      <sheetName val="modfrmCheckUpdates"/>
      <sheetName val="modfrmRegion"/>
      <sheetName val="modReestr"/>
      <sheetName val="modUpdTemplMain"/>
      <sheetName val="modfrmDateChoose"/>
      <sheetName val="modHyperlink"/>
      <sheetName val="modClassifierVali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7">
          <cell r="F27">
            <v>436890.65975800005</v>
          </cell>
        </row>
        <row r="28">
          <cell r="F28">
            <v>756347.32215599995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10359735</v>
          </cell>
        </row>
        <row r="8281">
          <cell r="E8281">
            <v>0</v>
          </cell>
        </row>
        <row r="8282">
          <cell r="E8282">
            <v>10255058</v>
          </cell>
        </row>
        <row r="8284">
          <cell r="K8284">
            <v>36856</v>
          </cell>
        </row>
        <row r="8287">
          <cell r="K8287">
            <v>66472</v>
          </cell>
        </row>
        <row r="8290">
          <cell r="H8290">
            <v>336</v>
          </cell>
        </row>
        <row r="8293">
          <cell r="H8293">
            <v>1013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563149005</v>
          </cell>
        </row>
        <row r="18">
          <cell r="D18">
            <v>0</v>
          </cell>
          <cell r="E18">
            <v>55899</v>
          </cell>
          <cell r="F18">
            <v>254848</v>
          </cell>
          <cell r="G18">
            <v>212251</v>
          </cell>
        </row>
        <row r="19">
          <cell r="D19">
            <v>869892</v>
          </cell>
          <cell r="E19">
            <v>531411</v>
          </cell>
          <cell r="F19">
            <v>100994285</v>
          </cell>
          <cell r="G19">
            <v>52343197</v>
          </cell>
        </row>
        <row r="20">
          <cell r="D20">
            <v>155400</v>
          </cell>
          <cell r="F20">
            <v>28733892</v>
          </cell>
          <cell r="G20">
            <v>42281678</v>
          </cell>
        </row>
        <row r="28">
          <cell r="F28">
            <v>1918031</v>
          </cell>
          <cell r="G28">
            <v>175262407</v>
          </cell>
        </row>
        <row r="37">
          <cell r="C37">
            <v>153652</v>
          </cell>
          <cell r="D37">
            <v>251</v>
          </cell>
          <cell r="E37">
            <v>0</v>
          </cell>
          <cell r="F37">
            <v>93562</v>
          </cell>
          <cell r="G37">
            <v>59839</v>
          </cell>
        </row>
        <row r="128">
          <cell r="D128">
            <v>1393486</v>
          </cell>
          <cell r="E128">
            <v>49561</v>
          </cell>
          <cell r="F128">
            <v>38429639</v>
          </cell>
          <cell r="G128">
            <v>11139899</v>
          </cell>
        </row>
        <row r="129">
          <cell r="F129">
            <v>126698</v>
          </cell>
          <cell r="G129">
            <v>30861</v>
          </cell>
        </row>
        <row r="192">
          <cell r="D192">
            <v>0</v>
          </cell>
          <cell r="E192">
            <v>0</v>
          </cell>
          <cell r="F192">
            <v>736751</v>
          </cell>
          <cell r="G19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распред ОДН"/>
      <sheetName val="нераспред ОДН чист+ перер 2020"/>
      <sheetName val="Лист1"/>
    </sheetNames>
    <sheetDataSet>
      <sheetData sheetId="0"/>
      <sheetData sheetId="1">
        <row r="3">
          <cell r="G3">
            <v>0</v>
          </cell>
        </row>
      </sheetData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 refreshError="1">
        <row r="8281">
          <cell r="F8281">
            <v>0</v>
          </cell>
        </row>
        <row r="8282">
          <cell r="F828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РМО"/>
      <sheetName val="СМО"/>
      <sheetName val="ШМО"/>
      <sheetName val="хоз.нужды"/>
      <sheetName val="прочие ТСО"/>
    </sheetNames>
    <sheetDataSet>
      <sheetData sheetId="0">
        <row r="15">
          <cell r="E15">
            <v>0</v>
          </cell>
        </row>
        <row r="23">
          <cell r="E23">
            <v>0</v>
          </cell>
        </row>
        <row r="37">
          <cell r="E37">
            <v>0</v>
          </cell>
        </row>
        <row r="49">
          <cell r="E4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448">
          <cell r="F644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2">
          <cell r="G828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2">
          <cell r="H828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СЭ-4 январь 2021"/>
    </sheetNames>
    <sheetDataSet>
      <sheetData sheetId="0">
        <row r="24">
          <cell r="C24">
            <v>474414345.51749998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урегулирование"/>
    </sheetNames>
    <sheetDataSet>
      <sheetData sheetId="0"/>
      <sheetData sheetId="1"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765673</v>
          </cell>
          <cell r="G64">
            <v>38222</v>
          </cell>
        </row>
        <row r="65">
          <cell r="F65">
            <v>329597</v>
          </cell>
          <cell r="G65">
            <v>1249749</v>
          </cell>
        </row>
      </sheetData>
      <sheetData sheetId="2"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777426</v>
          </cell>
          <cell r="G64">
            <v>29201</v>
          </cell>
        </row>
        <row r="65">
          <cell r="F65">
            <v>318672</v>
          </cell>
          <cell r="G65">
            <v>1368976</v>
          </cell>
        </row>
      </sheetData>
      <sheetData sheetId="3"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692226</v>
          </cell>
          <cell r="G64">
            <v>27834</v>
          </cell>
        </row>
        <row r="65">
          <cell r="F65">
            <v>295056</v>
          </cell>
          <cell r="G65">
            <v>1239479</v>
          </cell>
        </row>
      </sheetData>
      <sheetData sheetId="4"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613827</v>
          </cell>
          <cell r="G64">
            <v>23065</v>
          </cell>
        </row>
        <row r="65">
          <cell r="F65">
            <v>263361</v>
          </cell>
          <cell r="G65">
            <v>1219738</v>
          </cell>
        </row>
      </sheetData>
      <sheetData sheetId="5"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659055</v>
          </cell>
          <cell r="G64">
            <v>18837</v>
          </cell>
        </row>
        <row r="65">
          <cell r="F65">
            <v>241757</v>
          </cell>
          <cell r="G65">
            <v>1341800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485">
          <cell r="C5485">
            <v>137254643.04000002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орр-ки в 2019г. за прошлы пер."/>
      <sheetName val="корр-ки в 2019г. "/>
      <sheetName val="донцовой"/>
      <sheetName val="корректировки неоткл"/>
      <sheetName val="по мировому 2016"/>
      <sheetName val="корректировка неотклю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>
        <row r="72">
          <cell r="D72">
            <v>416402395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МРСК"/>
      <sheetName val="Акт наш"/>
      <sheetName val="ФСК ОАО Донэкс"/>
      <sheetName val="ФСК РЖД"/>
      <sheetName val="ФСК Агромаркет"/>
      <sheetName val="ФСК Коммунальщик Дона)"/>
      <sheetName val="ФСК Энергосеть Р"/>
      <sheetName val="ФСК ОЭК"/>
      <sheetName val="ФСК МеталлЭнергоРесурс"/>
      <sheetName val="ФСК Энерготранс"/>
      <sheetName val="ФСК ВГЭС"/>
      <sheetName val="Лист2"/>
      <sheetName val="Лист1"/>
      <sheetName val="по балансу свод"/>
      <sheetName val="отпуск по донэнерго"/>
      <sheetName val="протокол с дэЭсб РЭ 2013"/>
      <sheetName val="ДЭС"/>
      <sheetName val="акт ДЭС"/>
    </sheetNames>
    <sheetDataSet>
      <sheetData sheetId="0" refreshError="1"/>
      <sheetData sheetId="1">
        <row r="732">
          <cell r="D732">
            <v>41758426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10359735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448">
          <cell r="C6448">
            <v>161644196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448">
          <cell r="C6448">
            <v>161641163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1043986645.244</v>
          </cell>
        </row>
        <row r="1255">
          <cell r="E1255">
            <v>95573228</v>
          </cell>
          <cell r="F1255">
            <v>201903</v>
          </cell>
          <cell r="G1255">
            <v>4249039</v>
          </cell>
          <cell r="H1255">
            <v>69718863</v>
          </cell>
        </row>
        <row r="4561">
          <cell r="E4561">
            <v>72651819</v>
          </cell>
          <cell r="F4561">
            <v>18038105</v>
          </cell>
          <cell r="G4561">
            <v>245796744.009</v>
          </cell>
          <cell r="H4561">
            <v>95579485.846000001</v>
          </cell>
        </row>
        <row r="4562">
          <cell r="E4562">
            <v>45131442</v>
          </cell>
          <cell r="F4562">
            <v>6155554</v>
          </cell>
          <cell r="G4562">
            <v>1241241</v>
          </cell>
          <cell r="H4562">
            <v>204204</v>
          </cell>
        </row>
        <row r="4564">
          <cell r="E4564">
            <v>2830818.4000000004</v>
          </cell>
          <cell r="F4564">
            <v>786339</v>
          </cell>
          <cell r="G4564">
            <v>42720894.162999995</v>
          </cell>
          <cell r="H4564">
            <v>343106965.82599992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E8641">
            <v>406061</v>
          </cell>
          <cell r="G8641">
            <v>1637710</v>
          </cell>
          <cell r="H8641">
            <v>67666999</v>
          </cell>
        </row>
        <row r="8709">
          <cell r="C8709">
            <v>549956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estr"/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HTTP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ListProv"/>
      <sheetName val="modButton"/>
      <sheetName val="modInstruction"/>
      <sheetName val="REESTR_ORG"/>
      <sheetName val="REESTR_FIL"/>
      <sheetName val="modfrmCheckUpdates"/>
      <sheetName val="modfrmRegion"/>
      <sheetName val="modReestr"/>
      <sheetName val="modUpdTemplMain"/>
      <sheetName val="modfrmDateChoose"/>
      <sheetName val="modHyperlink"/>
      <sheetName val="modClassifierVali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7">
          <cell r="F27">
            <v>389445.01738899993</v>
          </cell>
        </row>
        <row r="28">
          <cell r="F28">
            <v>654541.62785499997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10053762</v>
          </cell>
        </row>
        <row r="8281">
          <cell r="E8281">
            <v>0</v>
          </cell>
        </row>
        <row r="8282">
          <cell r="E8282">
            <v>9965614</v>
          </cell>
        </row>
        <row r="8284">
          <cell r="K8284">
            <v>36728</v>
          </cell>
        </row>
        <row r="8287">
          <cell r="K8287">
            <v>48958</v>
          </cell>
        </row>
        <row r="8290">
          <cell r="H8290">
            <v>270</v>
          </cell>
        </row>
        <row r="8293">
          <cell r="H8293">
            <v>1079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482573017</v>
          </cell>
        </row>
        <row r="18">
          <cell r="D18">
            <v>0</v>
          </cell>
          <cell r="E18">
            <v>27813</v>
          </cell>
          <cell r="F18">
            <v>220946</v>
          </cell>
          <cell r="G18">
            <v>213452</v>
          </cell>
        </row>
        <row r="19">
          <cell r="D19">
            <v>794970</v>
          </cell>
          <cell r="E19">
            <v>459514</v>
          </cell>
          <cell r="F19">
            <v>93628972</v>
          </cell>
          <cell r="G19">
            <v>47861853</v>
          </cell>
        </row>
        <row r="20">
          <cell r="D20">
            <v>137800</v>
          </cell>
          <cell r="F20">
            <v>25479139</v>
          </cell>
          <cell r="G20">
            <v>38217961</v>
          </cell>
        </row>
        <row r="28">
          <cell r="F28">
            <v>1708451</v>
          </cell>
          <cell r="G28">
            <v>155738961</v>
          </cell>
        </row>
        <row r="37">
          <cell r="C37">
            <v>140432</v>
          </cell>
          <cell r="D37">
            <v>318</v>
          </cell>
          <cell r="E37">
            <v>0</v>
          </cell>
          <cell r="F37">
            <v>92193</v>
          </cell>
          <cell r="G37">
            <v>47921</v>
          </cell>
        </row>
        <row r="128">
          <cell r="D128">
            <v>1146124</v>
          </cell>
          <cell r="E128">
            <v>49620</v>
          </cell>
          <cell r="F128">
            <v>36468848</v>
          </cell>
          <cell r="G128">
            <v>9830322</v>
          </cell>
        </row>
        <row r="129">
          <cell r="F129">
            <v>130630</v>
          </cell>
          <cell r="G129">
            <v>28130</v>
          </cell>
        </row>
        <row r="192">
          <cell r="D192">
            <v>0</v>
          </cell>
          <cell r="E192">
            <v>0</v>
          </cell>
          <cell r="F192">
            <v>578309</v>
          </cell>
          <cell r="G19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"/>
      <sheetName val="Лист1"/>
      <sheetName val="Сводный акт с МРСК наш"/>
      <sheetName val="Протокол разногласий"/>
      <sheetName val="Акт наш вариант "/>
      <sheetName val="распределение потерь"/>
      <sheetName val="разногласия"/>
    </sheetNames>
    <sheetDataSet>
      <sheetData sheetId="0"/>
      <sheetData sheetId="1"/>
      <sheetData sheetId="2"/>
      <sheetData sheetId="3"/>
      <sheetData sheetId="4">
        <row r="18">
          <cell r="E18">
            <v>3017</v>
          </cell>
        </row>
      </sheetData>
      <sheetData sheetId="5"/>
      <sheetData sheetId="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10053762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1154231346.6950002</v>
          </cell>
        </row>
        <row r="1255">
          <cell r="E1255">
            <v>157617147</v>
          </cell>
          <cell r="F1255">
            <v>257324</v>
          </cell>
          <cell r="G1255">
            <v>5665839</v>
          </cell>
          <cell r="H1255">
            <v>112771635</v>
          </cell>
        </row>
        <row r="4561">
          <cell r="E4561">
            <v>77964689</v>
          </cell>
          <cell r="F4561">
            <v>19424337</v>
          </cell>
          <cell r="G4561">
            <v>262014421.51100001</v>
          </cell>
          <cell r="H4561">
            <v>99699706.630999997</v>
          </cell>
        </row>
        <row r="4562">
          <cell r="E4562">
            <v>48340427</v>
          </cell>
          <cell r="F4562">
            <v>6848771</v>
          </cell>
          <cell r="G4562">
            <v>1173485</v>
          </cell>
          <cell r="H4562">
            <v>313841</v>
          </cell>
        </row>
        <row r="4564">
          <cell r="E4564">
            <v>2692272.7009999994</v>
          </cell>
          <cell r="F4564">
            <v>836464</v>
          </cell>
          <cell r="G4564">
            <v>40522967.094999999</v>
          </cell>
          <cell r="H4564">
            <v>318088019.75700003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641">
          <cell r="C8641">
            <v>112065575</v>
          </cell>
          <cell r="E8641">
            <v>965359</v>
          </cell>
          <cell r="G8641">
            <v>2428317</v>
          </cell>
          <cell r="H8641">
            <v>108671899</v>
          </cell>
        </row>
        <row r="8709">
          <cell r="C8709">
            <v>628462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estr"/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HTTP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ListProv"/>
      <sheetName val="modButton"/>
      <sheetName val="modInstruction"/>
      <sheetName val="REESTR_ORG"/>
      <sheetName val="REESTR_FIL"/>
      <sheetName val="modfrmCheckUpdates"/>
      <sheetName val="modfrmRegion"/>
      <sheetName val="modReestr"/>
      <sheetName val="modUpdTemplMain"/>
      <sheetName val="modfrmDateChoose"/>
      <sheetName val="modHyperlink"/>
      <sheetName val="modClassifierVali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7">
          <cell r="F27">
            <v>362139.72355300002</v>
          </cell>
        </row>
        <row r="28">
          <cell r="F28">
            <v>792091.62314200005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24">
          <cell r="C24">
            <v>448396102.58700001</v>
          </cell>
        </row>
        <row r="8280">
          <cell r="C8280">
            <v>11644292</v>
          </cell>
        </row>
        <row r="8281">
          <cell r="E8281">
            <v>0</v>
          </cell>
        </row>
        <row r="8282">
          <cell r="E8282">
            <v>11557188</v>
          </cell>
        </row>
        <row r="8284">
          <cell r="K8284">
            <v>36848</v>
          </cell>
        </row>
        <row r="8287">
          <cell r="K8287">
            <v>48748</v>
          </cell>
        </row>
        <row r="8290">
          <cell r="H8290">
            <v>302</v>
          </cell>
        </row>
        <row r="8293">
          <cell r="H8293">
            <v>1206</v>
          </cell>
        </row>
      </sheetData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526584206</v>
          </cell>
        </row>
        <row r="18">
          <cell r="D18">
            <v>0</v>
          </cell>
          <cell r="E18">
            <v>36453</v>
          </cell>
          <cell r="F18">
            <v>239557</v>
          </cell>
          <cell r="G18">
            <v>166259</v>
          </cell>
        </row>
        <row r="19">
          <cell r="D19">
            <v>887151</v>
          </cell>
          <cell r="E19">
            <v>509618</v>
          </cell>
          <cell r="F19">
            <v>101544181</v>
          </cell>
          <cell r="G19">
            <v>49677496</v>
          </cell>
        </row>
        <row r="20">
          <cell r="D20">
            <v>160600</v>
          </cell>
          <cell r="F20">
            <v>25096808</v>
          </cell>
          <cell r="G20">
            <v>35668788</v>
          </cell>
        </row>
        <row r="28">
          <cell r="F28">
            <v>1555623</v>
          </cell>
          <cell r="G28">
            <v>145241347</v>
          </cell>
        </row>
        <row r="37">
          <cell r="C37">
            <v>137985</v>
          </cell>
          <cell r="D37">
            <v>0</v>
          </cell>
          <cell r="E37">
            <v>0</v>
          </cell>
          <cell r="F37">
            <v>84821</v>
          </cell>
          <cell r="G37">
            <v>53164</v>
          </cell>
        </row>
        <row r="128">
          <cell r="D128">
            <v>907907</v>
          </cell>
          <cell r="E128">
            <v>56341</v>
          </cell>
          <cell r="F128">
            <v>40859011</v>
          </cell>
          <cell r="G128">
            <v>10940629</v>
          </cell>
        </row>
        <row r="129">
          <cell r="F129">
            <v>133147</v>
          </cell>
          <cell r="G129">
            <v>29133</v>
          </cell>
        </row>
        <row r="192">
          <cell r="D192">
            <v>0</v>
          </cell>
          <cell r="E192">
            <v>0</v>
          </cell>
          <cell r="F192">
            <v>671009</v>
          </cell>
          <cell r="G19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1">
          <cell r="B21">
            <v>11644292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112065163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937472397.79900002</v>
          </cell>
        </row>
        <row r="1255">
          <cell r="E1255">
            <v>69314493</v>
          </cell>
          <cell r="F1255">
            <v>263666</v>
          </cell>
          <cell r="G1255">
            <v>3905420</v>
          </cell>
          <cell r="H1255">
            <v>57044918</v>
          </cell>
        </row>
        <row r="4561">
          <cell r="E4561">
            <v>64535501</v>
          </cell>
          <cell r="F4561">
            <v>17988724</v>
          </cell>
          <cell r="G4561">
            <v>214764607.58000001</v>
          </cell>
          <cell r="H4561">
            <v>81640279.841000006</v>
          </cell>
        </row>
        <row r="4562">
          <cell r="E4562">
            <v>43096047</v>
          </cell>
          <cell r="F4562">
            <v>6239944</v>
          </cell>
          <cell r="G4562">
            <v>1106719</v>
          </cell>
          <cell r="H4562">
            <v>351466</v>
          </cell>
        </row>
        <row r="4564">
          <cell r="E4564">
            <v>2559909.6089999997</v>
          </cell>
          <cell r="F4564">
            <v>572150</v>
          </cell>
          <cell r="G4564">
            <v>37202538.983000003</v>
          </cell>
          <cell r="H4564">
            <v>336886013.38599992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56123294</v>
          </cell>
          <cell r="E8641">
            <v>186342</v>
          </cell>
          <cell r="G8641">
            <v>1515357</v>
          </cell>
          <cell r="H8641">
            <v>54421595</v>
          </cell>
        </row>
        <row r="8709">
          <cell r="C8709">
            <v>576557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estr"/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HTTP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ListProv"/>
      <sheetName val="modButton"/>
      <sheetName val="modInstruction"/>
      <sheetName val="REESTR_ORG"/>
      <sheetName val="REESTR_FIL"/>
      <sheetName val="modfrmCheckUpdates"/>
      <sheetName val="modfrmRegion"/>
      <sheetName val="modReestr"/>
      <sheetName val="modUpdTemplMain"/>
      <sheetName val="modfrmDateChoose"/>
      <sheetName val="modHyperlink"/>
      <sheetName val="modClassifierVali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7">
          <cell r="F27">
            <v>377220.61197799991</v>
          </cell>
        </row>
        <row r="28">
          <cell r="F28">
            <v>560251.78542099998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9414485</v>
          </cell>
        </row>
        <row r="8281">
          <cell r="E8281">
            <v>0</v>
          </cell>
        </row>
        <row r="8282">
          <cell r="E8282">
            <v>9356357</v>
          </cell>
        </row>
        <row r="8284">
          <cell r="K8284">
            <v>36276</v>
          </cell>
        </row>
        <row r="8287">
          <cell r="K8287">
            <v>20528</v>
          </cell>
        </row>
        <row r="8290">
          <cell r="H8290">
            <v>302</v>
          </cell>
        </row>
        <row r="8293">
          <cell r="H8293">
            <v>1022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ЦМО"/>
      <sheetName val="ЗМО"/>
      <sheetName val="ВМО"/>
      <sheetName val="ЮМО"/>
      <sheetName val="ЮЗМО"/>
      <sheetName val="СВМО"/>
      <sheetName val="ЮВМО"/>
      <sheetName val="СМО"/>
      <sheetName val="АУП"/>
      <sheetName val="неотк"/>
      <sheetName val="справочно СВОД"/>
      <sheetName val="справочно ЦМО"/>
      <sheetName val="справочно ЗМО"/>
      <sheetName val="справочно ВМО"/>
      <sheetName val="справочно ЮМО"/>
      <sheetName val="справочно ЮЗМО"/>
      <sheetName val="справочно СВМО"/>
      <sheetName val="справочно ЮВМО"/>
      <sheetName val="справочно СМО"/>
      <sheetName val="справочно АУ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70">
          <cell r="C770">
            <v>178823811</v>
          </cell>
        </row>
        <row r="805">
          <cell r="C805">
            <v>11069166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436159593</v>
          </cell>
        </row>
        <row r="18">
          <cell r="D18">
            <v>0</v>
          </cell>
          <cell r="E18">
            <v>14748</v>
          </cell>
          <cell r="F18">
            <v>271125</v>
          </cell>
          <cell r="G18">
            <v>198589</v>
          </cell>
        </row>
        <row r="19">
          <cell r="D19">
            <v>516360</v>
          </cell>
          <cell r="E19">
            <v>411430</v>
          </cell>
          <cell r="F19">
            <v>81607005</v>
          </cell>
          <cell r="G19">
            <v>41650411</v>
          </cell>
        </row>
        <row r="20">
          <cell r="D20">
            <v>111200</v>
          </cell>
          <cell r="F20">
            <v>22653653</v>
          </cell>
          <cell r="G20">
            <v>37150589</v>
          </cell>
        </row>
        <row r="28">
          <cell r="F28">
            <v>1557621</v>
          </cell>
          <cell r="G28">
            <v>151448682</v>
          </cell>
        </row>
        <row r="37">
          <cell r="C37">
            <v>133910</v>
          </cell>
          <cell r="D37">
            <v>0</v>
          </cell>
          <cell r="E37">
            <v>0</v>
          </cell>
          <cell r="F37">
            <v>93389</v>
          </cell>
          <cell r="G37">
            <v>40521</v>
          </cell>
        </row>
        <row r="128">
          <cell r="D128">
            <v>701339</v>
          </cell>
          <cell r="E128">
            <v>37492</v>
          </cell>
          <cell r="F128">
            <v>32926207</v>
          </cell>
          <cell r="G128">
            <v>8365526</v>
          </cell>
        </row>
        <row r="129">
          <cell r="F129">
            <v>111413</v>
          </cell>
          <cell r="G129">
            <v>26970</v>
          </cell>
        </row>
        <row r="192">
          <cell r="D192">
            <v>0</v>
          </cell>
          <cell r="E192">
            <v>0</v>
          </cell>
          <cell r="F192">
            <v>235635</v>
          </cell>
          <cell r="G19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9414485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56029688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897207036.48199987</v>
          </cell>
        </row>
        <row r="1255">
          <cell r="E1255">
            <v>85144923</v>
          </cell>
          <cell r="F1255">
            <v>182617</v>
          </cell>
          <cell r="G1255">
            <v>3557507</v>
          </cell>
          <cell r="H1255">
            <v>58482752</v>
          </cell>
        </row>
        <row r="4561">
          <cell r="E4561">
            <v>59039658</v>
          </cell>
          <cell r="F4561">
            <v>17418839.844999999</v>
          </cell>
          <cell r="G4561">
            <v>201047411.45499998</v>
          </cell>
          <cell r="H4561">
            <v>75077171.794</v>
          </cell>
        </row>
        <row r="4562">
          <cell r="E4562">
            <v>42824393</v>
          </cell>
          <cell r="F4562">
            <v>6425758</v>
          </cell>
          <cell r="G4562">
            <v>1114139</v>
          </cell>
          <cell r="H4562">
            <v>323124</v>
          </cell>
        </row>
        <row r="4564">
          <cell r="E4564">
            <v>2467065.2000000002</v>
          </cell>
          <cell r="F4564">
            <v>513780</v>
          </cell>
          <cell r="G4564">
            <v>34740552.57</v>
          </cell>
          <cell r="H4564">
            <v>308847344.61799997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641">
          <cell r="C8641">
            <v>57728703</v>
          </cell>
          <cell r="E8641">
            <v>9945</v>
          </cell>
          <cell r="G8641">
            <v>1867539</v>
          </cell>
          <cell r="H8641">
            <v>55851219</v>
          </cell>
        </row>
        <row r="8709">
          <cell r="C8709">
            <v>582446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estr"/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HTTP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ListProv"/>
      <sheetName val="modButton"/>
      <sheetName val="modInstruction"/>
      <sheetName val="REESTR_ORG"/>
      <sheetName val="REESTR_FIL"/>
      <sheetName val="modfrmCheckUpdates"/>
      <sheetName val="modfrmRegion"/>
      <sheetName val="modReestr"/>
      <sheetName val="modUpdTemplMain"/>
      <sheetName val="modfrmDateChoose"/>
      <sheetName val="modHyperlink"/>
      <sheetName val="modClassifierVali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7">
          <cell r="F27">
            <v>346568.74238799996</v>
          </cell>
        </row>
        <row r="28">
          <cell r="F28">
            <v>550638.29409400001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8993003</v>
          </cell>
        </row>
        <row r="8281">
          <cell r="E8281">
            <v>0</v>
          </cell>
        </row>
        <row r="8282">
          <cell r="E8282">
            <v>8951506</v>
          </cell>
        </row>
        <row r="8284">
          <cell r="K8284">
            <v>35785</v>
          </cell>
        </row>
        <row r="8287">
          <cell r="K8287">
            <v>4571</v>
          </cell>
        </row>
        <row r="8290">
          <cell r="H8290">
            <v>336</v>
          </cell>
        </row>
        <row r="8293">
          <cell r="H8293">
            <v>805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412440125</v>
          </cell>
        </row>
        <row r="18">
          <cell r="D18">
            <v>0</v>
          </cell>
          <cell r="E18">
            <v>15022</v>
          </cell>
          <cell r="F18">
            <v>254786</v>
          </cell>
          <cell r="G18">
            <v>206344</v>
          </cell>
        </row>
        <row r="19">
          <cell r="D19">
            <v>440464</v>
          </cell>
          <cell r="E19">
            <v>361808</v>
          </cell>
          <cell r="F19">
            <v>77656213</v>
          </cell>
          <cell r="G19">
            <v>39450495</v>
          </cell>
        </row>
        <row r="20">
          <cell r="D20">
            <v>98600</v>
          </cell>
          <cell r="F20">
            <v>21769803</v>
          </cell>
          <cell r="G20">
            <v>36022631</v>
          </cell>
        </row>
        <row r="28">
          <cell r="F28">
            <v>1444742</v>
          </cell>
          <cell r="G28">
            <v>138929834</v>
          </cell>
        </row>
        <row r="37">
          <cell r="C37">
            <v>113795</v>
          </cell>
          <cell r="D37">
            <v>0</v>
          </cell>
          <cell r="E37">
            <v>0</v>
          </cell>
          <cell r="F37">
            <v>85396</v>
          </cell>
          <cell r="G37">
            <v>28399</v>
          </cell>
        </row>
        <row r="128">
          <cell r="D128">
            <v>504876</v>
          </cell>
          <cell r="E128">
            <v>28320</v>
          </cell>
          <cell r="F128">
            <v>29635293</v>
          </cell>
          <cell r="G128">
            <v>7272752</v>
          </cell>
        </row>
        <row r="129">
          <cell r="F129">
            <v>118339</v>
          </cell>
          <cell r="G129">
            <v>27214</v>
          </cell>
        </row>
        <row r="192">
          <cell r="D192">
            <v>0</v>
          </cell>
          <cell r="E192">
            <v>0</v>
          </cell>
          <cell r="F192">
            <v>202079</v>
          </cell>
          <cell r="G19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8993003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57886715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938595737.15200007</v>
          </cell>
        </row>
        <row r="1255">
          <cell r="E1255">
            <v>72386598</v>
          </cell>
          <cell r="F1255">
            <v>270070</v>
          </cell>
          <cell r="G1255">
            <v>4177018.9960000003</v>
          </cell>
          <cell r="H1255">
            <v>71924437</v>
          </cell>
        </row>
        <row r="4561">
          <cell r="E4561">
            <v>63582138</v>
          </cell>
          <cell r="F4561">
            <v>21455385</v>
          </cell>
          <cell r="G4561">
            <v>222514863.51800001</v>
          </cell>
          <cell r="H4561">
            <v>85112024.032000005</v>
          </cell>
        </row>
        <row r="4562">
          <cell r="E4562">
            <v>43626092</v>
          </cell>
          <cell r="F4562">
            <v>6892367</v>
          </cell>
          <cell r="G4562">
            <v>1159986</v>
          </cell>
          <cell r="H4562">
            <v>404007</v>
          </cell>
        </row>
        <row r="4564">
          <cell r="E4564">
            <v>2489459.700999999</v>
          </cell>
          <cell r="F4564">
            <v>458159</v>
          </cell>
          <cell r="G4564">
            <v>37243124.877999991</v>
          </cell>
          <cell r="H4564">
            <v>304900007.02700001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71535766</v>
          </cell>
          <cell r="E8641">
            <v>498980</v>
          </cell>
          <cell r="G8641">
            <v>1602583</v>
          </cell>
          <cell r="H8641">
            <v>69434203</v>
          </cell>
        </row>
        <row r="8709">
          <cell r="C8709">
            <v>456514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январь не откл."/>
      <sheetName val="январь всего"/>
      <sheetName val="справочно янв."/>
      <sheetName val="февраль"/>
      <sheetName val="февраль не откл."/>
      <sheetName val="февраль всего"/>
      <sheetName val="справочно фев."/>
      <sheetName val="март"/>
      <sheetName val="март не откл."/>
      <sheetName val="март всего"/>
      <sheetName val="справочно март"/>
      <sheetName val="1 кв. "/>
      <sheetName val="1 кв. не откл. "/>
      <sheetName val="1 кв.  всего"/>
      <sheetName val="1 кв. справочно"/>
      <sheetName val="апрель"/>
      <sheetName val="апрель не откл."/>
      <sheetName val="апрель всего"/>
      <sheetName val="справочно апрель"/>
      <sheetName val="май"/>
      <sheetName val="май не откл."/>
      <sheetName val="май всего"/>
      <sheetName val="справочно май"/>
      <sheetName val="5 мес. всего"/>
      <sheetName val="июнь"/>
      <sheetName val="июнь не откл."/>
      <sheetName val="июнь всего"/>
      <sheetName val="справочно июнь"/>
      <sheetName val="2 кв."/>
      <sheetName val="справочно 2 кв."/>
      <sheetName val="июль"/>
      <sheetName val="справочно июль"/>
      <sheetName val="август"/>
      <sheetName val="справочно авг."/>
      <sheetName val="сентябрь"/>
      <sheetName val="справочно сент."/>
      <sheetName val="3 кв."/>
      <sheetName val="справочно 3 кв."/>
      <sheetName val="октябрь"/>
      <sheetName val="справочно окт."/>
      <sheetName val="ноябрь"/>
      <sheetName val="справочно ноя."/>
      <sheetName val="декабрь"/>
      <sheetName val="справочно дек."/>
      <sheetName val="4 кв."/>
      <sheetName val="справочно 4 кв."/>
      <sheetName val="2012"/>
    </sheetNames>
    <sheetDataSet>
      <sheetData sheetId="0"/>
      <sheetData sheetId="1"/>
      <sheetData sheetId="2">
        <row r="11">
          <cell r="C11">
            <v>442570314.00368303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2">
          <cell r="C82">
            <v>7053212.9995050002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estr"/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HTTP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ListProv"/>
      <sheetName val="modButton"/>
      <sheetName val="modInstruction"/>
      <sheetName val="REESTR_ORG"/>
      <sheetName val="REESTR_FIL"/>
      <sheetName val="modfrmCheckUpdates"/>
      <sheetName val="modfrmRegion"/>
      <sheetName val="modReestr"/>
      <sheetName val="modUpdTemplMain"/>
      <sheetName val="modfrmDateChoose"/>
      <sheetName val="modHyperlink"/>
      <sheetName val="modClassifierVali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7">
          <cell r="F27">
            <v>345090.75060600002</v>
          </cell>
        </row>
        <row r="28">
          <cell r="F28">
            <v>593504.986546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9422357</v>
          </cell>
        </row>
        <row r="8281">
          <cell r="E8281">
            <v>0</v>
          </cell>
        </row>
        <row r="8282">
          <cell r="E8282">
            <v>9387115</v>
          </cell>
        </row>
        <row r="8284">
          <cell r="K8284">
            <v>33971</v>
          </cell>
        </row>
        <row r="8287">
          <cell r="K8287">
            <v>0</v>
          </cell>
        </row>
        <row r="8290">
          <cell r="H8290">
            <v>370</v>
          </cell>
        </row>
        <row r="8293">
          <cell r="H8293">
            <v>901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450713079</v>
          </cell>
        </row>
        <row r="18">
          <cell r="D18">
            <v>0</v>
          </cell>
          <cell r="E18">
            <v>13364</v>
          </cell>
          <cell r="F18">
            <v>300669</v>
          </cell>
          <cell r="G18">
            <v>229253</v>
          </cell>
        </row>
        <row r="19">
          <cell r="D19">
            <v>493876</v>
          </cell>
          <cell r="E19">
            <v>277253</v>
          </cell>
          <cell r="F19">
            <v>87268858</v>
          </cell>
          <cell r="G19">
            <v>46256088</v>
          </cell>
        </row>
        <row r="20">
          <cell r="D20">
            <v>73800</v>
          </cell>
          <cell r="F20">
            <v>24044542</v>
          </cell>
          <cell r="G20">
            <v>37512499</v>
          </cell>
        </row>
        <row r="28">
          <cell r="F28">
            <v>1575621</v>
          </cell>
          <cell r="G28">
            <v>140749677</v>
          </cell>
        </row>
        <row r="37">
          <cell r="C37">
            <v>153871</v>
          </cell>
          <cell r="D37">
            <v>0</v>
          </cell>
          <cell r="E37">
            <v>0</v>
          </cell>
          <cell r="F37">
            <v>127851</v>
          </cell>
          <cell r="G37">
            <v>26020</v>
          </cell>
        </row>
        <row r="128">
          <cell r="D128">
            <v>442342</v>
          </cell>
          <cell r="E128">
            <v>18734</v>
          </cell>
          <cell r="F128">
            <v>31531719</v>
          </cell>
          <cell r="G128">
            <v>7996329</v>
          </cell>
        </row>
        <row r="129">
          <cell r="F129">
            <v>100256</v>
          </cell>
          <cell r="G129">
            <v>25293</v>
          </cell>
        </row>
        <row r="192">
          <cell r="D192">
            <v>0</v>
          </cell>
          <cell r="E192">
            <v>0</v>
          </cell>
          <cell r="F192">
            <v>113269</v>
          </cell>
          <cell r="G19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1">
          <cell r="B21">
            <v>9422357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71535766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1003980317.448</v>
          </cell>
        </row>
        <row r="1255">
          <cell r="E1255">
            <v>78979904</v>
          </cell>
          <cell r="F1255">
            <v>214793</v>
          </cell>
          <cell r="G1255">
            <v>4640712</v>
          </cell>
          <cell r="H1255">
            <v>85608132</v>
          </cell>
        </row>
        <row r="4561">
          <cell r="E4561">
            <v>63735260</v>
          </cell>
          <cell r="F4561">
            <v>21253816</v>
          </cell>
          <cell r="G4561">
            <v>234684718.43000001</v>
          </cell>
          <cell r="H4561">
            <v>88037512.285999998</v>
          </cell>
        </row>
        <row r="4562">
          <cell r="E4562">
            <v>44375722</v>
          </cell>
          <cell r="F4562">
            <v>6453958</v>
          </cell>
          <cell r="G4562">
            <v>1143380</v>
          </cell>
          <cell r="H4562">
            <v>444526</v>
          </cell>
        </row>
        <row r="4564">
          <cell r="E4564">
            <v>2694780.699000001</v>
          </cell>
          <cell r="F4564">
            <v>428810</v>
          </cell>
          <cell r="G4564">
            <v>40258128.47299999</v>
          </cell>
          <cell r="H4564">
            <v>331026164.55999994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84937490</v>
          </cell>
          <cell r="E8641">
            <v>723882</v>
          </cell>
          <cell r="G8641">
            <v>2149296</v>
          </cell>
          <cell r="H8641">
            <v>82064312</v>
          </cell>
        </row>
        <row r="8709">
          <cell r="C8709">
            <v>470121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F32">
            <v>629572.43371599994</v>
          </cell>
        </row>
        <row r="35">
          <cell r="F35">
            <v>374407.8837319999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9560461</v>
          </cell>
        </row>
        <row r="8281">
          <cell r="E8281">
            <v>0</v>
          </cell>
        </row>
        <row r="8282">
          <cell r="E8282">
            <v>9518233</v>
          </cell>
        </row>
        <row r="8284">
          <cell r="K8284">
            <v>35893</v>
          </cell>
        </row>
        <row r="8287">
          <cell r="K8287">
            <v>2518</v>
          </cell>
        </row>
        <row r="8290">
          <cell r="H8290">
            <v>351</v>
          </cell>
        </row>
        <row r="8293">
          <cell r="H8293">
            <v>3466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482175460</v>
          </cell>
        </row>
        <row r="18">
          <cell r="D18">
            <v>0</v>
          </cell>
          <cell r="E18">
            <v>27641</v>
          </cell>
          <cell r="F18">
            <v>236037</v>
          </cell>
          <cell r="G18">
            <v>173042</v>
          </cell>
        </row>
        <row r="19">
          <cell r="D19">
            <v>510675</v>
          </cell>
          <cell r="E19">
            <v>447244</v>
          </cell>
          <cell r="F19">
            <v>90490017</v>
          </cell>
          <cell r="G19">
            <v>47782888</v>
          </cell>
        </row>
        <row r="20">
          <cell r="D20">
            <v>83200</v>
          </cell>
          <cell r="F20">
            <v>25552161</v>
          </cell>
          <cell r="G20">
            <v>41133570</v>
          </cell>
        </row>
        <row r="28">
          <cell r="F28">
            <v>1649498</v>
          </cell>
          <cell r="G28">
            <v>148169496</v>
          </cell>
        </row>
        <row r="37">
          <cell r="C37">
            <v>166827</v>
          </cell>
          <cell r="D37">
            <v>0</v>
          </cell>
          <cell r="E37">
            <v>0</v>
          </cell>
          <cell r="F37">
            <v>135725</v>
          </cell>
          <cell r="G37">
            <v>31102</v>
          </cell>
        </row>
        <row r="128">
          <cell r="D128">
            <v>469209</v>
          </cell>
          <cell r="E128">
            <v>55657</v>
          </cell>
          <cell r="F128">
            <v>31490740</v>
          </cell>
          <cell r="G128">
            <v>8342388</v>
          </cell>
        </row>
        <row r="129">
          <cell r="F129">
            <v>82688</v>
          </cell>
          <cell r="G129">
            <v>15231</v>
          </cell>
        </row>
        <row r="192">
          <cell r="D192">
            <v>0</v>
          </cell>
          <cell r="E192">
            <v>0</v>
          </cell>
          <cell r="F192">
            <v>159229</v>
          </cell>
          <cell r="G19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9560461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МРСК"/>
      <sheetName val="Акт наш"/>
      <sheetName val="отпуск по донэнерго"/>
      <sheetName val="Акт п.п ЭСб РЭ"/>
      <sheetName val="ДЭС"/>
      <sheetName val="акт ДЭС"/>
    </sheetNames>
    <sheetDataSet>
      <sheetData sheetId="0" refreshError="1"/>
      <sheetData sheetId="1" refreshError="1">
        <row r="9">
          <cell r="J9">
            <v>-41812.003683015704</v>
          </cell>
        </row>
        <row r="10">
          <cell r="J10">
            <v>-49669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85138022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1098199112.5369999</v>
          </cell>
        </row>
        <row r="1255">
          <cell r="E1255">
            <v>88531737</v>
          </cell>
          <cell r="F1255">
            <v>248993</v>
          </cell>
          <cell r="G1255">
            <v>4812376.0020000003</v>
          </cell>
          <cell r="H1255">
            <v>84721249</v>
          </cell>
        </row>
        <row r="4561">
          <cell r="E4561">
            <v>65854926</v>
          </cell>
          <cell r="F4561">
            <v>21294622.431000002</v>
          </cell>
          <cell r="G4561">
            <v>254416011.10600001</v>
          </cell>
          <cell r="H4561">
            <v>100526120.64099999</v>
          </cell>
        </row>
        <row r="4562">
          <cell r="E4562">
            <v>46279439</v>
          </cell>
          <cell r="F4562">
            <v>6617954</v>
          </cell>
          <cell r="G4562">
            <v>1304344</v>
          </cell>
          <cell r="H4562">
            <v>469775</v>
          </cell>
        </row>
        <row r="4564">
          <cell r="E4564">
            <v>3315288.2999999993</v>
          </cell>
          <cell r="F4564">
            <v>453944</v>
          </cell>
          <cell r="G4564">
            <v>47333211.828999989</v>
          </cell>
          <cell r="H4564">
            <v>372019121.22799987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84458159</v>
          </cell>
          <cell r="E8641">
            <v>629030</v>
          </cell>
          <cell r="G8641">
            <v>2221432</v>
          </cell>
          <cell r="H8641">
            <v>81607697</v>
          </cell>
        </row>
        <row r="8709">
          <cell r="C8709">
            <v>504082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2">
          <cell r="F32">
            <v>675077.54717999999</v>
          </cell>
        </row>
        <row r="35">
          <cell r="F35">
            <v>423121.56535699998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9572555</v>
          </cell>
        </row>
        <row r="8281">
          <cell r="E8281">
            <v>0</v>
          </cell>
          <cell r="H8281">
            <v>299615</v>
          </cell>
        </row>
        <row r="8282">
          <cell r="E8282">
            <v>9231559</v>
          </cell>
        </row>
        <row r="8284">
          <cell r="K8284">
            <v>35966</v>
          </cell>
        </row>
        <row r="8287">
          <cell r="K8287">
            <v>543</v>
          </cell>
        </row>
        <row r="8290">
          <cell r="H8290">
            <v>370</v>
          </cell>
        </row>
        <row r="8293">
          <cell r="H8293">
            <v>4502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540899787</v>
          </cell>
        </row>
        <row r="18">
          <cell r="D18">
            <v>0</v>
          </cell>
          <cell r="E18">
            <v>21180</v>
          </cell>
          <cell r="F18">
            <v>250062</v>
          </cell>
          <cell r="G18">
            <v>175883</v>
          </cell>
        </row>
        <row r="19">
          <cell r="D19">
            <v>607884</v>
          </cell>
          <cell r="E19">
            <v>469591</v>
          </cell>
          <cell r="F19">
            <v>99294719</v>
          </cell>
          <cell r="G19">
            <v>55159694</v>
          </cell>
        </row>
        <row r="20">
          <cell r="D20">
            <v>84400</v>
          </cell>
          <cell r="F20">
            <v>31201989</v>
          </cell>
          <cell r="G20">
            <v>51386505</v>
          </cell>
        </row>
        <row r="28">
          <cell r="F28">
            <v>1995636</v>
          </cell>
          <cell r="G28">
            <v>170265499</v>
          </cell>
        </row>
        <row r="37">
          <cell r="C37">
            <v>184241</v>
          </cell>
          <cell r="D37">
            <v>0</v>
          </cell>
          <cell r="E37">
            <v>0</v>
          </cell>
          <cell r="F37">
            <v>148010</v>
          </cell>
          <cell r="G37">
            <v>36231</v>
          </cell>
        </row>
        <row r="128">
          <cell r="D128">
            <v>492806</v>
          </cell>
          <cell r="E128">
            <v>52950</v>
          </cell>
          <cell r="F128">
            <v>34780592</v>
          </cell>
          <cell r="G128">
            <v>9738387</v>
          </cell>
        </row>
        <row r="129">
          <cell r="F129">
            <v>94152</v>
          </cell>
          <cell r="G129">
            <v>16389</v>
          </cell>
        </row>
        <row r="192">
          <cell r="D192">
            <v>0</v>
          </cell>
          <cell r="E192">
            <v>0</v>
          </cell>
          <cell r="F192">
            <v>176658</v>
          </cell>
          <cell r="G19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1">
          <cell r="B21">
            <v>9572555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84450570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864436846.18799984</v>
          </cell>
        </row>
        <row r="1255">
          <cell r="E1255">
            <v>38172695</v>
          </cell>
          <cell r="F1255">
            <v>257164</v>
          </cell>
          <cell r="G1255">
            <v>3264316</v>
          </cell>
          <cell r="H1255">
            <v>45250733</v>
          </cell>
        </row>
        <row r="4561">
          <cell r="E4561">
            <v>59228972</v>
          </cell>
          <cell r="F4561">
            <v>19106165.318999998</v>
          </cell>
          <cell r="G4561">
            <v>206286118.02700001</v>
          </cell>
          <cell r="H4561">
            <v>79435299.365999997</v>
          </cell>
        </row>
        <row r="4562">
          <cell r="E4562">
            <v>41798067</v>
          </cell>
          <cell r="F4562">
            <v>6019969</v>
          </cell>
          <cell r="G4562">
            <v>2817156</v>
          </cell>
          <cell r="H4562">
            <v>358013</v>
          </cell>
        </row>
        <row r="4564">
          <cell r="E4564">
            <v>2647533.0009999997</v>
          </cell>
          <cell r="F4564">
            <v>623592</v>
          </cell>
          <cell r="G4564">
            <v>35748671.78199999</v>
          </cell>
          <cell r="H4564">
            <v>323422381.69299996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45423208</v>
          </cell>
          <cell r="E8641">
            <v>214557</v>
          </cell>
          <cell r="G8641">
            <v>1148219</v>
          </cell>
          <cell r="H8641">
            <v>44060432</v>
          </cell>
        </row>
        <row r="8709">
          <cell r="C8709">
            <v>545413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F32">
            <v>501994.66771200008</v>
          </cell>
        </row>
        <row r="35">
          <cell r="F35">
            <v>362442.17847599997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8840834</v>
          </cell>
        </row>
        <row r="8281">
          <cell r="E8281">
            <v>0</v>
          </cell>
          <cell r="H8281">
            <v>0</v>
          </cell>
        </row>
        <row r="8282">
          <cell r="E8282">
            <v>8803892</v>
          </cell>
        </row>
        <row r="8284">
          <cell r="K8284">
            <v>36026</v>
          </cell>
        </row>
        <row r="8287">
          <cell r="K8287">
            <v>2518</v>
          </cell>
        </row>
        <row r="8290">
          <cell r="H8290">
            <v>336</v>
          </cell>
        </row>
        <row r="8293">
          <cell r="H8293">
            <v>-1938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"/>
      <sheetName val="Лист1"/>
      <sheetName val="Сводный акт с МРСК наш"/>
      <sheetName val="Протокол разногласий"/>
      <sheetName val="Акт наш вариант "/>
      <sheetName val="распределение потерь"/>
    </sheetNames>
    <sheetDataSet>
      <sheetData sheetId="0"/>
      <sheetData sheetId="1"/>
      <sheetData sheetId="2"/>
      <sheetData sheetId="3"/>
      <sheetData sheetId="4">
        <row r="18">
          <cell r="E18">
            <v>330</v>
          </cell>
        </row>
      </sheetData>
      <sheetData sheetId="5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416203933</v>
          </cell>
        </row>
        <row r="18">
          <cell r="D18">
            <v>0</v>
          </cell>
          <cell r="E18">
            <v>24462</v>
          </cell>
          <cell r="F18">
            <v>1824026</v>
          </cell>
          <cell r="G18">
            <v>112227</v>
          </cell>
        </row>
        <row r="19">
          <cell r="D19">
            <v>502120</v>
          </cell>
          <cell r="E19">
            <v>433635</v>
          </cell>
          <cell r="F19">
            <v>77959200</v>
          </cell>
          <cell r="G19">
            <v>41331758</v>
          </cell>
        </row>
        <row r="20">
          <cell r="D20">
            <v>84000</v>
          </cell>
          <cell r="F20">
            <v>23300725</v>
          </cell>
          <cell r="G20">
            <v>38998335</v>
          </cell>
        </row>
        <row r="28">
          <cell r="F28">
            <v>1613393</v>
          </cell>
          <cell r="G28">
            <v>146596629</v>
          </cell>
        </row>
        <row r="37">
          <cell r="C37">
            <v>125098</v>
          </cell>
          <cell r="D37">
            <v>0</v>
          </cell>
          <cell r="E37">
            <v>0</v>
          </cell>
          <cell r="F37">
            <v>99539</v>
          </cell>
          <cell r="G37">
            <v>25559</v>
          </cell>
        </row>
        <row r="128">
          <cell r="D128">
            <v>432252</v>
          </cell>
          <cell r="E128">
            <v>49832</v>
          </cell>
          <cell r="F128">
            <v>28834129</v>
          </cell>
          <cell r="G128">
            <v>8228654</v>
          </cell>
        </row>
        <row r="129">
          <cell r="F129">
            <v>108996</v>
          </cell>
          <cell r="G129">
            <v>24623</v>
          </cell>
        </row>
        <row r="192">
          <cell r="D192">
            <v>0</v>
          </cell>
          <cell r="E192">
            <v>0</v>
          </cell>
          <cell r="F192">
            <v>196614</v>
          </cell>
          <cell r="G192">
            <v>713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8840834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45422512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  <sheetName val="СЭ-46 октябрь 2022 чистая + пер"/>
    </sheetNames>
    <sheetDataSet>
      <sheetData sheetId="0">
        <row r="11">
          <cell r="C11">
            <v>969081438.38100004</v>
          </cell>
        </row>
        <row r="1255">
          <cell r="E1255">
            <v>98051689</v>
          </cell>
          <cell r="F1255">
            <v>282595</v>
          </cell>
          <cell r="G1255">
            <v>4724236</v>
          </cell>
          <cell r="H1255">
            <v>86850510</v>
          </cell>
        </row>
        <row r="4561">
          <cell r="E4561">
            <v>61883307</v>
          </cell>
          <cell r="F4561">
            <v>19136897.390999999</v>
          </cell>
          <cell r="G4561">
            <v>216773453.28100002</v>
          </cell>
          <cell r="H4561">
            <v>82601541.493000001</v>
          </cell>
        </row>
        <row r="4562">
          <cell r="E4562">
            <v>39757236</v>
          </cell>
          <cell r="F4562">
            <v>6544796</v>
          </cell>
          <cell r="G4562">
            <v>2882263</v>
          </cell>
          <cell r="H4562">
            <v>351583</v>
          </cell>
        </row>
        <row r="4564">
          <cell r="E4564">
            <v>2436792.8000000003</v>
          </cell>
          <cell r="F4564">
            <v>818930</v>
          </cell>
          <cell r="G4564">
            <v>36617081.615999989</v>
          </cell>
          <cell r="H4564">
            <v>309368526.80000001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86690955</v>
          </cell>
          <cell r="E8641">
            <v>505410</v>
          </cell>
          <cell r="G8641">
            <v>2028747</v>
          </cell>
          <cell r="H8641">
            <v>84156798</v>
          </cell>
        </row>
        <row r="8709">
          <cell r="C8709">
            <v>604128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F32">
            <v>619840.10716499994</v>
          </cell>
        </row>
        <row r="35">
          <cell r="F35">
            <v>349241.33121599996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9835814</v>
          </cell>
        </row>
        <row r="8281">
          <cell r="E8281">
            <v>0</v>
          </cell>
          <cell r="H8281">
            <v>0</v>
          </cell>
        </row>
        <row r="8282">
          <cell r="E8282">
            <v>9780836</v>
          </cell>
        </row>
        <row r="8284">
          <cell r="K8284">
            <v>36054</v>
          </cell>
        </row>
        <row r="8287">
          <cell r="K8287">
            <v>17932</v>
          </cell>
        </row>
        <row r="8290">
          <cell r="H8290">
            <v>336</v>
          </cell>
        </row>
        <row r="8293">
          <cell r="H8293">
            <v>656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459175617</v>
          </cell>
        </row>
        <row r="18">
          <cell r="D18">
            <v>0</v>
          </cell>
          <cell r="E18">
            <v>39601</v>
          </cell>
          <cell r="F18">
            <v>1691465</v>
          </cell>
          <cell r="G18">
            <v>116568</v>
          </cell>
        </row>
        <row r="19">
          <cell r="D19">
            <v>535234</v>
          </cell>
          <cell r="E19">
            <v>509348</v>
          </cell>
          <cell r="F19">
            <v>83786382</v>
          </cell>
          <cell r="G19">
            <v>41840823</v>
          </cell>
        </row>
        <row r="20">
          <cell r="D20">
            <v>111600</v>
          </cell>
          <cell r="F20">
            <v>23145603</v>
          </cell>
          <cell r="G20">
            <v>38558627</v>
          </cell>
        </row>
        <row r="28">
          <cell r="F28">
            <v>1869353</v>
          </cell>
          <cell r="G28">
            <v>138807268</v>
          </cell>
        </row>
        <row r="37">
          <cell r="C37">
            <v>120706</v>
          </cell>
          <cell r="D37">
            <v>0</v>
          </cell>
          <cell r="E37">
            <v>0</v>
          </cell>
          <cell r="F37">
            <v>89518</v>
          </cell>
          <cell r="G37">
            <v>31188</v>
          </cell>
        </row>
        <row r="128">
          <cell r="D128">
            <v>417635</v>
          </cell>
          <cell r="E128">
            <v>66052</v>
          </cell>
          <cell r="F128">
            <v>31294570</v>
          </cell>
          <cell r="G128">
            <v>9246943</v>
          </cell>
        </row>
        <row r="129">
          <cell r="F129">
            <v>133113</v>
          </cell>
          <cell r="G129">
            <v>28825</v>
          </cell>
        </row>
        <row r="192">
          <cell r="D192">
            <v>0</v>
          </cell>
          <cell r="E192">
            <v>0</v>
          </cell>
          <cell r="F192">
            <v>236165</v>
          </cell>
          <cell r="G192">
            <v>737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9835814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86618999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1063491035.1349999</v>
          </cell>
        </row>
        <row r="1255">
          <cell r="E1255">
            <v>111863663</v>
          </cell>
          <cell r="F1255">
            <v>299933</v>
          </cell>
          <cell r="G1255">
            <v>5197098</v>
          </cell>
          <cell r="H1255">
            <v>83640171</v>
          </cell>
        </row>
        <row r="4561">
          <cell r="E4561">
            <v>68982233</v>
          </cell>
          <cell r="F4561">
            <v>21096782.039999999</v>
          </cell>
          <cell r="G4561">
            <v>244083590.77999997</v>
          </cell>
          <cell r="H4561">
            <v>95874199.33600001</v>
          </cell>
        </row>
        <row r="4562">
          <cell r="E4562">
            <v>43081302</v>
          </cell>
          <cell r="F4562">
            <v>6508437</v>
          </cell>
          <cell r="G4562">
            <v>2800335</v>
          </cell>
          <cell r="H4562">
            <v>364804</v>
          </cell>
        </row>
        <row r="4564">
          <cell r="E4564">
            <v>2772999.800999999</v>
          </cell>
          <cell r="F4564">
            <v>989702</v>
          </cell>
          <cell r="G4564">
            <v>40316437.635999992</v>
          </cell>
          <cell r="H4564">
            <v>335619347.542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83571410</v>
          </cell>
          <cell r="E8641">
            <v>581354</v>
          </cell>
          <cell r="G8641">
            <v>1900688</v>
          </cell>
          <cell r="H8641">
            <v>81089368</v>
          </cell>
        </row>
        <row r="8709">
          <cell r="C8709">
            <v>474776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ЦМО"/>
      <sheetName val="ЗМО"/>
      <sheetName val="ВМО"/>
      <sheetName val="ЮМО"/>
      <sheetName val="ЮЗМО"/>
      <sheetName val="СВМО"/>
      <sheetName val="ЮВМО"/>
      <sheetName val="СМО"/>
      <sheetName val="АУП"/>
      <sheetName val="неотк"/>
      <sheetName val="справочно СВОД"/>
      <sheetName val="справочно ЦМО"/>
      <sheetName val="справочно ЗМО"/>
      <sheetName val="справочно ВМО"/>
      <sheetName val="справочно ЮМО"/>
      <sheetName val="справочно ЮЗМО"/>
      <sheetName val="справочно СВМО"/>
      <sheetName val="справочно ЮВМО"/>
      <sheetName val="справочно СМО"/>
      <sheetName val="справочно АУ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70">
          <cell r="C770">
            <v>137200034</v>
          </cell>
        </row>
        <row r="805">
          <cell r="C805">
            <v>1390315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F32">
            <v>683792.54815599998</v>
          </cell>
        </row>
        <row r="35">
          <cell r="F35">
            <v>379698.48697900004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10312036</v>
          </cell>
        </row>
        <row r="8281">
          <cell r="E8281">
            <v>0</v>
          </cell>
          <cell r="H8281">
            <v>0</v>
          </cell>
        </row>
        <row r="8282">
          <cell r="E8282">
            <v>10234374</v>
          </cell>
        </row>
        <row r="8284">
          <cell r="K8284">
            <v>36740</v>
          </cell>
        </row>
        <row r="8287">
          <cell r="K8287">
            <v>39266</v>
          </cell>
        </row>
        <row r="8290">
          <cell r="H8290">
            <v>336</v>
          </cell>
        </row>
        <row r="8293">
          <cell r="H8293">
            <v>1320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490659190</v>
          </cell>
        </row>
        <row r="18">
          <cell r="D18">
            <v>0</v>
          </cell>
          <cell r="E18">
            <v>60612</v>
          </cell>
          <cell r="F18">
            <v>1394378</v>
          </cell>
          <cell r="G18">
            <v>118692</v>
          </cell>
        </row>
        <row r="19">
          <cell r="D19">
            <v>592775</v>
          </cell>
          <cell r="E19">
            <v>538720</v>
          </cell>
          <cell r="F19">
            <v>90218200</v>
          </cell>
          <cell r="G19">
            <v>45924266</v>
          </cell>
        </row>
        <row r="20">
          <cell r="D20">
            <v>123800</v>
          </cell>
          <cell r="F20">
            <v>24513797</v>
          </cell>
          <cell r="G20">
            <v>39932143</v>
          </cell>
        </row>
        <row r="28">
          <cell r="F28">
            <v>1589172</v>
          </cell>
          <cell r="G28">
            <v>150250856</v>
          </cell>
        </row>
        <row r="37">
          <cell r="C37">
            <v>135822</v>
          </cell>
          <cell r="D37">
            <v>0</v>
          </cell>
          <cell r="E37">
            <v>0</v>
          </cell>
          <cell r="F37">
            <v>89624</v>
          </cell>
          <cell r="G37">
            <v>46198</v>
          </cell>
        </row>
        <row r="128">
          <cell r="D128">
            <v>494117</v>
          </cell>
          <cell r="E128">
            <v>76496</v>
          </cell>
          <cell r="F128">
            <v>36162109</v>
          </cell>
          <cell r="G128">
            <v>11287530</v>
          </cell>
        </row>
        <row r="129">
          <cell r="F129">
            <v>124342</v>
          </cell>
          <cell r="G129">
            <v>29344</v>
          </cell>
        </row>
        <row r="192">
          <cell r="D192">
            <v>0</v>
          </cell>
          <cell r="E192">
            <v>0</v>
          </cell>
          <cell r="F192">
            <v>416041</v>
          </cell>
          <cell r="G192">
            <v>713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10312036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86675265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1219120509.0639999</v>
          </cell>
        </row>
        <row r="1255">
          <cell r="E1255">
            <v>170389456</v>
          </cell>
          <cell r="F1255">
            <v>168670</v>
          </cell>
          <cell r="G1255">
            <v>7097766</v>
          </cell>
          <cell r="H1255">
            <v>174479086</v>
          </cell>
        </row>
        <row r="4561">
          <cell r="E4561">
            <v>74734868</v>
          </cell>
          <cell r="F4561">
            <v>22330069</v>
          </cell>
          <cell r="G4561">
            <v>260649552.82400003</v>
          </cell>
          <cell r="H4561">
            <v>104440691.00300001</v>
          </cell>
        </row>
        <row r="4562">
          <cell r="E4562">
            <v>45644214</v>
          </cell>
          <cell r="F4562">
            <v>6868747</v>
          </cell>
          <cell r="G4562">
            <v>2447577</v>
          </cell>
          <cell r="H4562">
            <v>414538</v>
          </cell>
        </row>
        <row r="4564">
          <cell r="E4564">
            <v>2852158.1009999993</v>
          </cell>
          <cell r="F4564">
            <v>1259839</v>
          </cell>
          <cell r="G4564">
            <v>42516034.453999989</v>
          </cell>
          <cell r="H4564">
            <v>302827242.68199998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641">
          <cell r="C8641">
            <v>174067424</v>
          </cell>
          <cell r="E8641">
            <v>1654899</v>
          </cell>
          <cell r="G8641">
            <v>3018235</v>
          </cell>
          <cell r="H8641">
            <v>169394290</v>
          </cell>
        </row>
        <row r="8709">
          <cell r="C8709">
            <v>582995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</sheetNames>
    <sheetDataSet>
      <sheetData sheetId="0">
        <row r="8280">
          <cell r="C8280">
            <v>12389781</v>
          </cell>
        </row>
        <row r="8281">
          <cell r="E8281">
            <v>0</v>
          </cell>
          <cell r="H8281">
            <v>0</v>
          </cell>
        </row>
        <row r="8282">
          <cell r="E8282">
            <v>12298496</v>
          </cell>
        </row>
        <row r="8284">
          <cell r="K8284">
            <v>36634</v>
          </cell>
        </row>
        <row r="8287">
          <cell r="K8287">
            <v>52566</v>
          </cell>
        </row>
        <row r="8290">
          <cell r="H8290">
            <v>336</v>
          </cell>
        </row>
        <row r="8293">
          <cell r="H8293">
            <v>1749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ф"/>
      <sheetName val="Бф"/>
      <sheetName val="ВМО"/>
      <sheetName val="ВМЭС"/>
      <sheetName val="СМЭС"/>
      <sheetName val="Гук"/>
      <sheetName val="КМО"/>
      <sheetName val="ММО"/>
      <sheetName val="НчМО (свод)"/>
      <sheetName val="Нчмо (НчМЭС)"/>
      <sheetName val="Нчмо (НшМЭС)"/>
      <sheetName val="Нчмо (ШМЭС)"/>
      <sheetName val="Ншу"/>
      <sheetName val="СМО"/>
      <sheetName val="РМО"/>
      <sheetName val="ШМО"/>
      <sheetName val="ЗМЭС"/>
      <sheetName val="хоз.нужды"/>
      <sheetName val="прочие ТСО"/>
      <sheetName val="население по мо"/>
    </sheetNames>
    <sheetDataSet>
      <sheetData sheetId="0">
        <row r="9">
          <cell r="C9">
            <v>580121745</v>
          </cell>
        </row>
        <row r="18">
          <cell r="D18">
            <v>0</v>
          </cell>
          <cell r="E18">
            <v>148456</v>
          </cell>
          <cell r="F18">
            <v>973730</v>
          </cell>
          <cell r="G18">
            <v>117692</v>
          </cell>
        </row>
        <row r="19">
          <cell r="D19">
            <v>731644</v>
          </cell>
          <cell r="E19">
            <v>516020</v>
          </cell>
          <cell r="F19">
            <v>101781881</v>
          </cell>
          <cell r="G19">
            <v>50392490</v>
          </cell>
        </row>
        <row r="20">
          <cell r="D20">
            <v>157800</v>
          </cell>
          <cell r="F20">
            <v>26635635</v>
          </cell>
          <cell r="G20">
            <v>38776691</v>
          </cell>
        </row>
        <row r="28">
          <cell r="F28">
            <v>1606888</v>
          </cell>
          <cell r="G28">
            <v>131543317</v>
          </cell>
        </row>
        <row r="37">
          <cell r="C37">
            <v>156022</v>
          </cell>
        </row>
        <row r="128">
          <cell r="D128">
            <v>550674</v>
          </cell>
          <cell r="E128">
            <v>79716</v>
          </cell>
          <cell r="F128">
            <v>38612646</v>
          </cell>
          <cell r="G128">
            <v>12171369</v>
          </cell>
        </row>
        <row r="129">
          <cell r="F129">
            <v>129346</v>
          </cell>
          <cell r="G129">
            <v>27546</v>
          </cell>
        </row>
        <row r="192">
          <cell r="D192">
            <v>0</v>
          </cell>
          <cell r="E192">
            <v>0</v>
          </cell>
          <cell r="F192">
            <v>421570</v>
          </cell>
          <cell r="G192">
            <v>737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448">
          <cell r="F644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 ТСО от МО ИВЭС"/>
      <sheetName val="Потери ТСО от МО"/>
      <sheetName val="Купля-продажа"/>
      <sheetName val="Потери ТСО"/>
      <sheetName val="по балансу свод"/>
      <sheetName val="Акт наш вариант "/>
      <sheetName val="Лист2"/>
      <sheetName val="Лист1"/>
      <sheetName val="Сводный акт с МРСК наш"/>
      <sheetName val="Протокол разногласий"/>
    </sheetNames>
    <sheetDataSet>
      <sheetData sheetId="0"/>
      <sheetData sheetId="1"/>
      <sheetData sheetId="2"/>
      <sheetData sheetId="3"/>
      <sheetData sheetId="4">
        <row r="363">
          <cell r="C363">
            <v>150936968</v>
          </cell>
        </row>
        <row r="367">
          <cell r="C367">
            <v>15654241</v>
          </cell>
        </row>
        <row r="410">
          <cell r="C410">
            <v>426668</v>
          </cell>
        </row>
        <row r="420">
          <cell r="C420">
            <v>1016489</v>
          </cell>
        </row>
      </sheetData>
      <sheetData sheetId="5">
        <row r="21">
          <cell r="B21">
            <v>12389781</v>
          </cell>
        </row>
        <row r="26">
          <cell r="B26">
            <v>421318863</v>
          </cell>
        </row>
        <row r="49">
          <cell r="B49">
            <v>37863</v>
          </cell>
        </row>
        <row r="73">
          <cell r="B73">
            <v>5711593</v>
          </cell>
        </row>
        <row r="96">
          <cell r="B96">
            <v>30990170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S23"/>
  <sheetViews>
    <sheetView workbookViewId="0">
      <selection activeCell="A16" sqref="A16:L16"/>
    </sheetView>
  </sheetViews>
  <sheetFormatPr defaultRowHeight="12.75" x14ac:dyDescent="0.2"/>
  <cols>
    <col min="1" max="1" width="14.5703125" customWidth="1"/>
    <col min="2" max="2" width="8.42578125" bestFit="1" customWidth="1"/>
    <col min="3" max="3" width="8.85546875" customWidth="1"/>
    <col min="4" max="4" width="13.7109375" customWidth="1"/>
    <col min="5" max="5" width="8.7109375" customWidth="1"/>
    <col min="6" max="6" width="14.5703125" customWidth="1"/>
    <col min="7" max="7" width="13.140625" bestFit="1" customWidth="1"/>
    <col min="8" max="8" width="13.85546875" customWidth="1"/>
    <col min="9" max="9" width="15.42578125" customWidth="1"/>
    <col min="10" max="10" width="12.7109375" customWidth="1"/>
    <col min="11" max="11" width="11.140625" bestFit="1" customWidth="1"/>
    <col min="12" max="12" width="14.42578125" customWidth="1"/>
    <col min="13" max="13" width="11.85546875" style="11" customWidth="1"/>
    <col min="14" max="14" width="14" style="35" bestFit="1" customWidth="1"/>
    <col min="15" max="15" width="15.140625" style="35" customWidth="1"/>
    <col min="16" max="16" width="11.85546875" style="35" customWidth="1"/>
    <col min="17" max="17" width="10.85546875" style="35" customWidth="1"/>
    <col min="18" max="18" width="11.85546875" style="35" customWidth="1"/>
    <col min="19" max="19" width="9.85546875" style="35" customWidth="1"/>
  </cols>
  <sheetData>
    <row r="2" spans="1:17" ht="54.75" customHeight="1" x14ac:dyDescent="0.2">
      <c r="A2" s="207" t="s">
        <v>19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16"/>
      <c r="N2" s="34"/>
      <c r="O2" s="34"/>
      <c r="P2" s="34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6"/>
      <c r="N3" s="34"/>
      <c r="O3" s="34"/>
      <c r="P3" s="34"/>
    </row>
    <row r="4" spans="1:17" x14ac:dyDescent="0.2">
      <c r="L4" s="2" t="s">
        <v>0</v>
      </c>
    </row>
    <row r="5" spans="1:17" ht="30" customHeight="1" x14ac:dyDescent="0.2">
      <c r="A5" s="203" t="s">
        <v>1</v>
      </c>
      <c r="B5" s="204" t="s">
        <v>20</v>
      </c>
      <c r="C5" s="205"/>
      <c r="D5" s="205"/>
      <c r="E5" s="206"/>
      <c r="F5" s="204" t="s">
        <v>2</v>
      </c>
      <c r="G5" s="205"/>
      <c r="H5" s="205"/>
      <c r="I5" s="206"/>
      <c r="J5" s="204" t="s">
        <v>3</v>
      </c>
      <c r="K5" s="205"/>
      <c r="L5" s="206"/>
    </row>
    <row r="6" spans="1:17" ht="26.25" customHeight="1" x14ac:dyDescent="0.2">
      <c r="A6" s="203"/>
      <c r="B6" s="46" t="s">
        <v>4</v>
      </c>
      <c r="C6" s="46" t="s">
        <v>5</v>
      </c>
      <c r="D6" s="46" t="s">
        <v>6</v>
      </c>
      <c r="E6" s="46" t="s">
        <v>21</v>
      </c>
      <c r="F6" s="46" t="s">
        <v>4</v>
      </c>
      <c r="G6" s="46" t="s">
        <v>5</v>
      </c>
      <c r="H6" s="46" t="s">
        <v>6</v>
      </c>
      <c r="I6" s="46" t="s">
        <v>7</v>
      </c>
      <c r="J6" s="46" t="s">
        <v>4</v>
      </c>
      <c r="K6" s="46" t="s">
        <v>5</v>
      </c>
      <c r="L6" s="46" t="s">
        <v>6</v>
      </c>
    </row>
    <row r="7" spans="1:17" x14ac:dyDescent="0.2">
      <c r="A7" s="45" t="s">
        <v>8</v>
      </c>
      <c r="B7" s="5">
        <f>C7+D7</f>
        <v>447.12099999999998</v>
      </c>
      <c r="C7" s="6"/>
      <c r="D7" s="6">
        <f>[1]январь!$D7/1000</f>
        <v>447.12099999999998</v>
      </c>
      <c r="E7" s="6"/>
      <c r="F7" s="5">
        <f>G7+H7</f>
        <v>148648.408</v>
      </c>
      <c r="G7" s="6">
        <f>[2]январь!G52/1000</f>
        <v>765.85599999999999</v>
      </c>
      <c r="H7" s="6">
        <f>([2]январь!F52+[2]январь!E52)/1000</f>
        <v>147882.552</v>
      </c>
      <c r="I7" s="6"/>
      <c r="J7" s="5">
        <f>K7+L7</f>
        <v>0</v>
      </c>
      <c r="K7" s="7">
        <f>[3]январь!G62/1000</f>
        <v>0</v>
      </c>
      <c r="L7" s="7">
        <f>[3]январь!F62/1000</f>
        <v>0</v>
      </c>
      <c r="M7" s="14"/>
      <c r="O7" s="36"/>
      <c r="P7" s="36"/>
    </row>
    <row r="8" spans="1:17" x14ac:dyDescent="0.2">
      <c r="A8" s="45" t="s">
        <v>9</v>
      </c>
      <c r="B8" s="5">
        <f>C8+D8</f>
        <v>0</v>
      </c>
      <c r="C8" s="6"/>
      <c r="D8" s="6">
        <f>[1]январь!$D8/1000</f>
        <v>0</v>
      </c>
      <c r="E8" s="6"/>
      <c r="F8" s="5">
        <f>G8+H8</f>
        <v>32115.380999999998</v>
      </c>
      <c r="G8" s="6">
        <f>[2]январь!G53/1000</f>
        <v>465.76400000000001</v>
      </c>
      <c r="H8" s="6">
        <f>([2]январь!F53+[2]январь!E53)/1000</f>
        <v>31649.616999999998</v>
      </c>
      <c r="I8" s="6"/>
      <c r="J8" s="5">
        <f>K8+L8</f>
        <v>0</v>
      </c>
      <c r="K8" s="7">
        <f>[3]январь!G63/1000</f>
        <v>0</v>
      </c>
      <c r="L8" s="7">
        <f>[3]январь!F63/1000</f>
        <v>0</v>
      </c>
      <c r="M8" s="14"/>
      <c r="O8" s="36"/>
      <c r="P8" s="36"/>
    </row>
    <row r="9" spans="1:17" x14ac:dyDescent="0.2">
      <c r="A9" s="45" t="s">
        <v>10</v>
      </c>
      <c r="B9" s="5">
        <f>C9+D9</f>
        <v>0</v>
      </c>
      <c r="C9" s="6"/>
      <c r="D9" s="6">
        <f>[1]январь!$D9/1000</f>
        <v>0</v>
      </c>
      <c r="E9" s="6"/>
      <c r="F9" s="5">
        <f>G9+H9</f>
        <v>113573.02699999999</v>
      </c>
      <c r="G9" s="6">
        <f>[2]январь!G54/1000</f>
        <v>12326.116</v>
      </c>
      <c r="H9" s="6">
        <f>([2]январь!F54+[2]январь!E54)/1000</f>
        <v>101246.91099999999</v>
      </c>
      <c r="I9" s="6"/>
      <c r="J9" s="5">
        <f>K9+L9</f>
        <v>803.89499999999998</v>
      </c>
      <c r="K9" s="7">
        <f>[3]январь!G64/1000</f>
        <v>38.222000000000001</v>
      </c>
      <c r="L9" s="7">
        <f>[3]январь!F64/1000</f>
        <v>765.673</v>
      </c>
      <c r="M9" s="18"/>
      <c r="N9" s="39"/>
      <c r="O9" s="36"/>
      <c r="P9" s="36"/>
      <c r="Q9" s="40"/>
    </row>
    <row r="10" spans="1:17" x14ac:dyDescent="0.2">
      <c r="A10" s="45" t="s">
        <v>11</v>
      </c>
      <c r="B10" s="5">
        <f>C10+D10</f>
        <v>0</v>
      </c>
      <c r="C10" s="6"/>
      <c r="D10" s="6">
        <f>[1]январь!$D10/1000</f>
        <v>0</v>
      </c>
      <c r="E10" s="6"/>
      <c r="F10" s="5">
        <f>G10+H10</f>
        <v>132063.057</v>
      </c>
      <c r="G10" s="6">
        <f>[2]январь!G55/1000</f>
        <v>86373.84</v>
      </c>
      <c r="H10" s="6">
        <f>([2]январь!F55+[2]январь!E55)/1000</f>
        <v>45689.216999999997</v>
      </c>
      <c r="I10" s="6"/>
      <c r="J10" s="5">
        <f>K10+L10</f>
        <v>1579.346</v>
      </c>
      <c r="K10" s="7">
        <f>[3]январь!G65/1000</f>
        <v>1249.749</v>
      </c>
      <c r="L10" s="7">
        <f>[3]январь!F65/1000</f>
        <v>329.59699999999998</v>
      </c>
      <c r="M10" s="18"/>
      <c r="N10" s="39"/>
      <c r="O10" s="36"/>
      <c r="Q10" s="40"/>
    </row>
    <row r="11" spans="1:17" x14ac:dyDescent="0.2">
      <c r="A11" s="45" t="s">
        <v>4</v>
      </c>
      <c r="B11" s="5">
        <f>C11+D11+E11</f>
        <v>450.13799999999998</v>
      </c>
      <c r="C11" s="9">
        <f>SUM(C7:C10)</f>
        <v>0</v>
      </c>
      <c r="D11" s="9">
        <f>SUM(D7:D10)</f>
        <v>447.12099999999998</v>
      </c>
      <c r="E11" s="9">
        <f>'[4]Акт наш вариант '!$E$18/1000</f>
        <v>3.0169999999999999</v>
      </c>
      <c r="F11" s="5">
        <f>G11+H11+I11</f>
        <v>616292.85</v>
      </c>
      <c r="G11" s="9">
        <f>SUM(G7:G10)</f>
        <v>99931.576000000001</v>
      </c>
      <c r="H11" s="9">
        <f>SUM(H7:H10)</f>
        <v>326468.29699999996</v>
      </c>
      <c r="I11" s="9">
        <f>('[5]справочно СВОД'!$C$770+'[5]справочно СВОД'!$C$805)/1000</f>
        <v>189892.97700000001</v>
      </c>
      <c r="J11" s="5">
        <f>K11+L11</f>
        <v>2383.241</v>
      </c>
      <c r="K11" s="9">
        <f>SUM(K9:K10)</f>
        <v>1287.971</v>
      </c>
      <c r="L11" s="9">
        <f>SUM(L7:L10)</f>
        <v>1095.27</v>
      </c>
      <c r="M11" s="18">
        <f>B11+F11+J11</f>
        <v>619126.22900000005</v>
      </c>
      <c r="N11" s="36">
        <f>F11+J11-I11</f>
        <v>428783.114</v>
      </c>
      <c r="O11" s="38">
        <f>'[6]январь всего'!$C$11/1000</f>
        <v>442570.31400368304</v>
      </c>
      <c r="P11" s="41"/>
    </row>
    <row r="12" spans="1:17" x14ac:dyDescent="0.2">
      <c r="M12" s="18"/>
      <c r="N12" s="41"/>
      <c r="O12" s="37">
        <f>N11-O11</f>
        <v>-13787.200003683043</v>
      </c>
      <c r="P12" s="35" t="s">
        <v>15</v>
      </c>
    </row>
    <row r="13" spans="1:17" x14ac:dyDescent="0.2">
      <c r="F13" s="12"/>
      <c r="G13" s="10"/>
      <c r="M13" s="18"/>
      <c r="N13" s="38"/>
      <c r="O13" s="42">
        <f>(('[7]Акт наш'!$J$9+'[7]Акт наш'!$J$10)/1000)</f>
        <v>-91.4810036830157</v>
      </c>
      <c r="P13" s="35" t="s">
        <v>14</v>
      </c>
    </row>
    <row r="14" spans="1:17" x14ac:dyDescent="0.2">
      <c r="M14" s="14"/>
      <c r="N14" s="37"/>
      <c r="O14" s="42">
        <v>17.09</v>
      </c>
      <c r="P14" s="35" t="s">
        <v>13</v>
      </c>
    </row>
    <row r="15" spans="1:17" x14ac:dyDescent="0.2">
      <c r="A15" s="43" t="s">
        <v>23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2"/>
      <c r="O15" s="36">
        <f>-2849.804+41.812</f>
        <v>-2807.9920000000002</v>
      </c>
      <c r="P15" s="35" t="s">
        <v>12</v>
      </c>
    </row>
    <row r="16" spans="1:17" ht="28.5" customHeight="1" x14ac:dyDescent="0.2">
      <c r="A16" s="208" t="s">
        <v>24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44"/>
      <c r="O16" s="37">
        <v>25.411999999999999</v>
      </c>
      <c r="P16" s="35" t="s">
        <v>16</v>
      </c>
    </row>
    <row r="17" spans="13:16" x14ac:dyDescent="0.2">
      <c r="M17" s="14"/>
      <c r="N17" s="37"/>
    </row>
    <row r="18" spans="13:16" x14ac:dyDescent="0.2">
      <c r="M18" s="14"/>
    </row>
    <row r="19" spans="13:16" x14ac:dyDescent="0.2">
      <c r="M19" s="14"/>
      <c r="O19" s="37"/>
    </row>
    <row r="20" spans="13:16" x14ac:dyDescent="0.2">
      <c r="M20" s="14"/>
    </row>
    <row r="21" spans="13:16" x14ac:dyDescent="0.2">
      <c r="M21" s="14"/>
    </row>
    <row r="22" spans="13:16" x14ac:dyDescent="0.2">
      <c r="M22" s="14"/>
    </row>
    <row r="23" spans="13:16" x14ac:dyDescent="0.2">
      <c r="N23" s="37"/>
      <c r="O23" s="37"/>
      <c r="P23" s="37"/>
    </row>
  </sheetData>
  <mergeCells count="6">
    <mergeCell ref="A16:L16"/>
    <mergeCell ref="A5:A6"/>
    <mergeCell ref="J5:L5"/>
    <mergeCell ref="F5:I5"/>
    <mergeCell ref="A2:L2"/>
    <mergeCell ref="B5:E5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6"/>
  <sheetViews>
    <sheetView view="pageBreakPreview" zoomScaleNormal="100" zoomScaleSheetLayoutView="100" workbookViewId="0">
      <selection activeCell="K24" sqref="K24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3.710937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77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73</v>
      </c>
      <c r="D3" s="221"/>
      <c r="E3" s="221"/>
      <c r="F3" s="222"/>
      <c r="G3" s="220" t="s">
        <v>59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74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7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897207.03648200002</v>
      </c>
      <c r="C6" s="105">
        <f t="shared" ref="C6:C11" si="0">D6+E6+F6</f>
        <v>9575.4489999999987</v>
      </c>
      <c r="D6" s="106">
        <f>SUM(D7:D11)</f>
        <v>41.496999999999993</v>
      </c>
      <c r="E6" s="107">
        <f>SUM(E7:E11)</f>
        <v>8951.5059999999994</v>
      </c>
      <c r="F6" s="107">
        <f>SUM(F7:F11)</f>
        <v>582.44600000000003</v>
      </c>
      <c r="G6" s="105">
        <f t="shared" ref="G6:G11" si="1">H6+I6+J6</f>
        <v>475349.47448199999</v>
      </c>
      <c r="H6" s="137">
        <f>SUM(H7:H11)</f>
        <v>148116.08238799998</v>
      </c>
      <c r="I6" s="107">
        <f>SUM(I7:I11)</f>
        <v>238176.74209400002</v>
      </c>
      <c r="J6" s="106">
        <f>SUM(J7:J11)</f>
        <v>89056.65</v>
      </c>
      <c r="K6" s="105">
        <f t="shared" ref="K6:K11" si="2">L6+M6+N6</f>
        <v>412282.11300000001</v>
      </c>
      <c r="L6" s="123">
        <f>SUM(L7:L11)</f>
        <v>198411.163</v>
      </c>
      <c r="M6" s="109">
        <f>SUM(M7:M11)</f>
        <v>156142.247</v>
      </c>
      <c r="N6" s="108">
        <f>SUM(N7:N11)</f>
        <v>57728.702999999994</v>
      </c>
      <c r="O6" s="146"/>
      <c r="P6" s="133">
        <f>C6+G6+K6</f>
        <v>897207.03648200002</v>
      </c>
      <c r="Q6" s="134">
        <f>[53]СВОД!$C$11/1000</f>
        <v>897207.03648199991</v>
      </c>
      <c r="R6" s="183">
        <f>P6-Q6</f>
        <v>0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/>
      <c r="F7" s="157"/>
      <c r="G7" s="111">
        <f t="shared" si="1"/>
        <v>0</v>
      </c>
      <c r="H7" s="139"/>
      <c r="I7" s="157"/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>
        <f>'[54]Раздел III'!$F$27+'[54]Раздел III'!$F$28</f>
        <v>897207.03648200002</v>
      </c>
      <c r="R7" s="185">
        <f>P6-Q7</f>
        <v>0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189476.03920000003</v>
      </c>
      <c r="C8" s="111">
        <f t="shared" si="0"/>
        <v>9574.3079999999991</v>
      </c>
      <c r="D8" s="112">
        <f>[55]СВОД!$K$8284/1000+[55]СВОД!$K$8287/1000</f>
        <v>40.355999999999995</v>
      </c>
      <c r="E8" s="176">
        <f>[55]СВОД!$E$8281/1000+[55]СВОД!$E$8282/1000</f>
        <v>8951.5059999999994</v>
      </c>
      <c r="F8" s="113">
        <f>'[53]справочно СВОД'!$C$8709/1000</f>
        <v>582.44600000000003</v>
      </c>
      <c r="G8" s="111">
        <f t="shared" si="1"/>
        <v>178847.84620000003</v>
      </c>
      <c r="H8" s="139">
        <f>([53]СВОД!$E$4564)/1000-L8-D8</f>
        <v>2328.1091999999999</v>
      </c>
      <c r="I8" s="113">
        <f>([53]СВОД!$E$4561+[53]СВОД!$E$4562)/1000-M8-E8</f>
        <v>91967.205000000016</v>
      </c>
      <c r="J8" s="162">
        <f>[53]СВОД!$E$1255/1000-N8-F8</f>
        <v>84552.531999999992</v>
      </c>
      <c r="K8" s="111">
        <f t="shared" si="2"/>
        <v>1053.885</v>
      </c>
      <c r="L8" s="124">
        <f>[56]СВОД!$D$20/1000</f>
        <v>98.6</v>
      </c>
      <c r="M8" s="114">
        <f>([56]СВОД!$D$18+[56]СВОД!$D$19+[56]СВОД!$D$37+[56]СВОД!$D$128+[56]СВОД!$D$192)/1000</f>
        <v>945.34</v>
      </c>
      <c r="N8" s="121">
        <f>'[53]справочно СВОД'!$E$8641/1000</f>
        <v>9.9450000000000003</v>
      </c>
      <c r="O8" s="147"/>
      <c r="P8" s="131"/>
      <c r="Q8" s="184">
        <f>Q7-Q6</f>
        <v>0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24540.994844999997</v>
      </c>
      <c r="C9" s="111">
        <f t="shared" si="0"/>
        <v>0</v>
      </c>
      <c r="D9" s="112"/>
      <c r="E9" s="176">
        <f>([24]СВОД!$F$8281+[24]СВОД!$F$8282)/1000</f>
        <v>0</v>
      </c>
      <c r="F9" s="113"/>
      <c r="G9" s="111">
        <f t="shared" si="1"/>
        <v>24135.844844999996</v>
      </c>
      <c r="H9" s="139">
        <f>([53]СВОД!$F$4564)/1000-L9-D9</f>
        <v>513.78</v>
      </c>
      <c r="I9" s="113">
        <f>([53]СВОД!$F$4561+[53]СВОД!$F$4562)/1000-M9-E9</f>
        <v>23439.447844999999</v>
      </c>
      <c r="J9" s="162">
        <f>[53]СВОД!$F$1255/1000-N9-F9</f>
        <v>182.61699999999999</v>
      </c>
      <c r="K9" s="111">
        <f t="shared" si="2"/>
        <v>405.15</v>
      </c>
      <c r="L9" s="124">
        <f>([25]СВОД!$E$15+[25]СВОД!$E$23+[25]СВОД!$E$49+[25]СВОД!$E$37)/1000</f>
        <v>0</v>
      </c>
      <c r="M9" s="114">
        <f>([56]СВОД!$E$18+[56]СВОД!$E$19+[56]СВОД!$E$37+[56]СВОД!$E$128+[56]СВОД!$E$192)/1000</f>
        <v>405.15</v>
      </c>
      <c r="N9" s="121">
        <f>'[26]справочно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240459.61002499997</v>
      </c>
      <c r="C10" s="111">
        <f t="shared" si="0"/>
        <v>0</v>
      </c>
      <c r="D10" s="112">
        <v>0</v>
      </c>
      <c r="E10" s="176">
        <f>[27]СВОД!$G$8282</f>
        <v>0</v>
      </c>
      <c r="F10" s="164"/>
      <c r="G10" s="111">
        <f t="shared" si="1"/>
        <v>107425.42002499997</v>
      </c>
      <c r="H10" s="139">
        <f>([53]СВОД!$G$4564)/1000-L10-D10</f>
        <v>11407.668570000002</v>
      </c>
      <c r="I10" s="113">
        <f>([53]СВОД!$G$4561+[53]СВОД!$G$4562)/1000-M10-E10</f>
        <v>94327.783454999982</v>
      </c>
      <c r="J10" s="162">
        <f>[53]СВОД!$G$1255/1000-N10-F10</f>
        <v>1689.9680000000001</v>
      </c>
      <c r="K10" s="111">
        <f t="shared" si="2"/>
        <v>133034.19</v>
      </c>
      <c r="L10" s="124">
        <f>([56]СВОД!$F$20+[56]СВОД!$F$28+[56]СВОД!$F$129)/1000</f>
        <v>23332.883999999998</v>
      </c>
      <c r="M10" s="114">
        <f>([56]СВОД!$F$18+[56]СВОД!$F$19+[56]СВОД!$F$37+[56]СВОД!$F$128+[56]СВОД!$F$192)/1000</f>
        <v>107833.76700000001</v>
      </c>
      <c r="N10" s="121">
        <f>'[53]справочно СВОД'!$G$8641/1000</f>
        <v>1867.539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442730.39241199999</v>
      </c>
      <c r="C11" s="116">
        <f t="shared" si="0"/>
        <v>1.141</v>
      </c>
      <c r="D11" s="117">
        <f>[55]СВОД!$H$8290/1000+[55]СВОД!$H$8293/1000</f>
        <v>1.141</v>
      </c>
      <c r="E11" s="182">
        <f>[28]СВОД!$H$8282/1000</f>
        <v>0</v>
      </c>
      <c r="F11" s="163">
        <v>0</v>
      </c>
      <c r="G11" s="116">
        <f t="shared" si="1"/>
        <v>164940.36341199998</v>
      </c>
      <c r="H11" s="139">
        <f>([53]СВОД!$H$4564)/1000-L11-D11</f>
        <v>133866.52461799997</v>
      </c>
      <c r="I11" s="113">
        <f>([53]СВОД!$H$4561+[53]СВОД!$H$4562)/1000-M11-E11</f>
        <v>28442.305794000007</v>
      </c>
      <c r="J11" s="162">
        <f>[53]СВОД!$H$1255/1000-N11-F11</f>
        <v>2631.5330000000031</v>
      </c>
      <c r="K11" s="116">
        <f t="shared" si="2"/>
        <v>277788.88799999998</v>
      </c>
      <c r="L11" s="178">
        <f>([56]СВОД!$G$20+[56]СВОД!$G$28+[56]СВОД!$G$129)/1000</f>
        <v>174979.679</v>
      </c>
      <c r="M11" s="114">
        <f>([56]СВОД!$G$18+[56]СВОД!$G$19+[56]СВОД!$G$37+[56]СВОД!$G$128+[56]СВОД!$G$192)/1000</f>
        <v>46957.99</v>
      </c>
      <c r="N11" s="122">
        <f>'[53]справочно СВОД'!$H$8641/1000</f>
        <v>55851.218999999997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1794414.072964</v>
      </c>
      <c r="C12" s="186">
        <f>SUM(C6:C11)</f>
        <v>19150.897999999997</v>
      </c>
      <c r="D12" s="186">
        <f t="shared" si="3"/>
        <v>82.993999999999986</v>
      </c>
      <c r="E12" s="186">
        <f t="shared" si="3"/>
        <v>17903.011999999999</v>
      </c>
      <c r="F12" s="186">
        <f t="shared" si="3"/>
        <v>1164.8920000000001</v>
      </c>
      <c r="G12" s="186">
        <f>SUM(G6:G11)</f>
        <v>950698.94896399998</v>
      </c>
      <c r="H12" s="186">
        <f>SUM(H6:H11)</f>
        <v>296232.16477599996</v>
      </c>
      <c r="I12" s="186">
        <f t="shared" si="3"/>
        <v>476353.48418800003</v>
      </c>
      <c r="J12" s="186">
        <f t="shared" si="3"/>
        <v>178113.29999999996</v>
      </c>
      <c r="K12" s="186">
        <f t="shared" si="3"/>
        <v>824564.22600000002</v>
      </c>
      <c r="L12" s="186">
        <f t="shared" si="3"/>
        <v>396822.326</v>
      </c>
      <c r="M12" s="186">
        <f t="shared" si="3"/>
        <v>312284.49400000001</v>
      </c>
      <c r="N12" s="186">
        <f>SUM(N6:N11)</f>
        <v>115457.40599999999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[43]СВОД!$C$24/1000</f>
        <v>448396.102587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120065.989558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'[57]Акт наш вариант '!$B$21/1000</f>
        <v>8993.0030000000006</v>
      </c>
      <c r="D19" s="68" t="s">
        <v>56</v>
      </c>
      <c r="E19" s="149"/>
      <c r="F19" s="149"/>
      <c r="G19" s="125"/>
      <c r="H19" s="125"/>
      <c r="I19" s="125"/>
      <c r="J19" s="125"/>
      <c r="K19" s="175">
        <f>[56]СВОД!$C$9/1000-K6</f>
        <v>158.01199999998789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582.44599999999809</v>
      </c>
      <c r="D20" s="68"/>
      <c r="E20" s="149"/>
      <c r="F20" s="149"/>
      <c r="G20" s="125"/>
      <c r="H20" s="127"/>
      <c r="I20" s="127"/>
      <c r="J20" s="128"/>
      <c r="K20" s="175">
        <f>[56]СВОД!$C$37/1000</f>
        <v>113.795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8993.0029999999988</v>
      </c>
      <c r="D21" s="172" t="s">
        <v>55</v>
      </c>
      <c r="E21" s="171">
        <f>[55]СВОД!$C$8280</f>
        <v>8993003</v>
      </c>
      <c r="F21" s="149"/>
      <c r="G21" s="125"/>
      <c r="H21" s="129"/>
      <c r="I21" s="129"/>
      <c r="J21" s="126"/>
      <c r="K21" s="174">
        <f>K19-K20</f>
        <v>44.216999999987891</v>
      </c>
      <c r="L21" s="175"/>
      <c r="M21" s="175">
        <f>'[53]справочно СВОД'!$C$8641-'[58]справочно СВОД'!$C$8641</f>
        <v>-158012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582.44599999999991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44216.999999987893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181">
        <f>C20-C22</f>
        <v>-1.8189894035458565E-12</v>
      </c>
      <c r="D24" s="68"/>
      <c r="E24" s="149"/>
      <c r="F24" s="156"/>
      <c r="G24" s="128"/>
      <c r="H24" s="129"/>
      <c r="I24" s="129"/>
      <c r="J24" s="125"/>
      <c r="K24" s="174">
        <f>K23+M21</f>
        <v>-113795.00000001211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K4:K5"/>
    <mergeCell ref="L4:N4"/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6"/>
  <sheetViews>
    <sheetView view="pageBreakPreview" zoomScaleNormal="100" zoomScaleSheetLayoutView="100" workbookViewId="0">
      <selection activeCell="F8" sqref="F8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3.710937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78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73</v>
      </c>
      <c r="D3" s="221"/>
      <c r="E3" s="221"/>
      <c r="F3" s="222"/>
      <c r="G3" s="220" t="s">
        <v>59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74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7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938595.73715199996</v>
      </c>
      <c r="C6" s="105">
        <f t="shared" ref="C6:C11" si="0">D6+E6+F6</f>
        <v>9878.8709999999992</v>
      </c>
      <c r="D6" s="106">
        <f>SUM(D7:D11)</f>
        <v>35.241999999999997</v>
      </c>
      <c r="E6" s="107">
        <f>SUM(E7:E11)</f>
        <v>9387.1149999999998</v>
      </c>
      <c r="F6" s="107">
        <f>SUM(F7:F11)</f>
        <v>456.51400000000001</v>
      </c>
      <c r="G6" s="105">
        <f t="shared" ref="G6:G11" si="1">H6+I6+J6</f>
        <v>478003.787152</v>
      </c>
      <c r="H6" s="137">
        <f>SUM(H7:H11)</f>
        <v>140973.82060599999</v>
      </c>
      <c r="I6" s="107">
        <f>SUM(I7:I11)</f>
        <v>260264.12255</v>
      </c>
      <c r="J6" s="106">
        <f>SUM(J7:J11)</f>
        <v>76765.843996000025</v>
      </c>
      <c r="K6" s="105">
        <f t="shared" ref="K6:K11" si="2">L6+M6+N6</f>
        <v>450713.07900000003</v>
      </c>
      <c r="L6" s="123">
        <f>SUM(L7:L11)</f>
        <v>204081.68800000002</v>
      </c>
      <c r="M6" s="109">
        <f>SUM(M7:M11)</f>
        <v>175095.625</v>
      </c>
      <c r="N6" s="108">
        <f>SUM(N7:N11)</f>
        <v>71535.765999999989</v>
      </c>
      <c r="O6" s="146"/>
      <c r="P6" s="133">
        <f>C6+G6+K6</f>
        <v>938595.73715199996</v>
      </c>
      <c r="Q6" s="134">
        <f>[59]СВОД!$C$11/1000</f>
        <v>938595.73715200007</v>
      </c>
      <c r="R6" s="183">
        <f>P6-Q6</f>
        <v>0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/>
      <c r="F7" s="157"/>
      <c r="G7" s="111">
        <f t="shared" si="1"/>
        <v>0</v>
      </c>
      <c r="H7" s="139"/>
      <c r="I7" s="157"/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>
        <f>'[60]Раздел III'!$F$27+'[60]Раздел III'!$F$28</f>
        <v>938595.73715199996</v>
      </c>
      <c r="R7" s="185">
        <f>P6-Q7</f>
        <v>0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182084.28770099999</v>
      </c>
      <c r="C8" s="111">
        <f t="shared" si="0"/>
        <v>9877.5999999999985</v>
      </c>
      <c r="D8" s="112">
        <f>[61]СВОД!$K$8284/1000+[61]СВОД!$K$8287/1000</f>
        <v>33.970999999999997</v>
      </c>
      <c r="E8" s="176">
        <f>[61]СВОД!$E$8281/1000+[61]СВОД!$E$8282/1000</f>
        <v>9387.1149999999998</v>
      </c>
      <c r="F8" s="113">
        <f>'[59]справочно СВОД'!$C$8709/1000</f>
        <v>456.51400000000001</v>
      </c>
      <c r="G8" s="111">
        <f t="shared" si="1"/>
        <v>170697.689701</v>
      </c>
      <c r="H8" s="139">
        <f>([59]СВОД!$E$4564)/1000-L8-D8</f>
        <v>2381.6887009999987</v>
      </c>
      <c r="I8" s="113">
        <f>([59]СВОД!$E$4561+[59]СВОД!$E$4562)/1000-M8-E8</f>
        <v>96884.896999999997</v>
      </c>
      <c r="J8" s="162">
        <f>[59]СВОД!$E$1255/1000-N8-F8</f>
        <v>71431.104000000007</v>
      </c>
      <c r="K8" s="111">
        <f t="shared" si="2"/>
        <v>1508.998</v>
      </c>
      <c r="L8" s="124">
        <f>[62]СВОД!$D$20/1000</f>
        <v>73.8</v>
      </c>
      <c r="M8" s="114">
        <f>([62]СВОД!$D$18+[62]СВОД!$D$19+[62]СВОД!$D$37+[62]СВОД!$D$128+[62]СВОД!$D$192)/1000</f>
        <v>936.21799999999996</v>
      </c>
      <c r="N8" s="121">
        <f>'[59]справочно СВОД'!$E$8641/1000</f>
        <v>498.98</v>
      </c>
      <c r="O8" s="147"/>
      <c r="P8" s="131"/>
      <c r="Q8" s="184">
        <f>Q7-Q6</f>
        <v>0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29075.981</v>
      </c>
      <c r="C9" s="111">
        <f t="shared" si="0"/>
        <v>0</v>
      </c>
      <c r="D9" s="112"/>
      <c r="E9" s="176">
        <f>([24]СВОД!$F$8281+[24]СВОД!$F$8282)/1000</f>
        <v>0</v>
      </c>
      <c r="F9" s="113"/>
      <c r="G9" s="111">
        <f t="shared" si="1"/>
        <v>28766.63</v>
      </c>
      <c r="H9" s="139">
        <f>([59]СВОД!$F$4564)/1000-L9-D9</f>
        <v>458.15899999999999</v>
      </c>
      <c r="I9" s="113">
        <f>([59]СВОД!$F$4561+[59]СВОД!$F$4562)/1000-M9-E9</f>
        <v>28038.401000000002</v>
      </c>
      <c r="J9" s="162">
        <f>[59]СВОД!$F$1255/1000-N9-F9</f>
        <v>270.07</v>
      </c>
      <c r="K9" s="111">
        <f t="shared" si="2"/>
        <v>309.351</v>
      </c>
      <c r="L9" s="124">
        <f>([25]СВОД!$E$15+[25]СВОД!$E$23+[25]СВОД!$E$49+[25]СВОД!$E$37)/1000</f>
        <v>0</v>
      </c>
      <c r="M9" s="114">
        <f>([62]СВОД!$E$18+[62]СВОД!$E$19+[62]СВОД!$E$37+[62]СВОД!$E$128+[62]СВОД!$E$192)/1000</f>
        <v>309.351</v>
      </c>
      <c r="N9" s="121">
        <f>'[26]справочно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265094.99339200003</v>
      </c>
      <c r="C10" s="111">
        <f t="shared" si="0"/>
        <v>0</v>
      </c>
      <c r="D10" s="112">
        <v>0</v>
      </c>
      <c r="E10" s="176">
        <f>[27]СВОД!$G$8282</f>
        <v>0</v>
      </c>
      <c r="F10" s="164"/>
      <c r="G10" s="111">
        <f t="shared" si="1"/>
        <v>118429.625392</v>
      </c>
      <c r="H10" s="139">
        <f>([59]СВОД!$G$4564)/1000-L10-D10</f>
        <v>11522.705877999986</v>
      </c>
      <c r="I10" s="113">
        <f>([59]СВОД!$G$4561+[59]СВОД!$G$4562)/1000-M10-E10</f>
        <v>104332.48351800001</v>
      </c>
      <c r="J10" s="162">
        <f>[59]СВОД!$G$1255/1000-N10-F10</f>
        <v>2574.4359960000006</v>
      </c>
      <c r="K10" s="111">
        <f t="shared" si="2"/>
        <v>146665.36800000002</v>
      </c>
      <c r="L10" s="124">
        <f>([62]СВОД!$F$20+[62]СВОД!$F$28+[62]СВОД!$F$129)/1000</f>
        <v>25720.419000000002</v>
      </c>
      <c r="M10" s="114">
        <f>([62]СВОД!$F$18+[62]СВОД!$F$19+[62]СВОД!$F$37+[62]СВОД!$F$128+[62]СВОД!$F$192)/1000</f>
        <v>119342.36599999999</v>
      </c>
      <c r="N10" s="121">
        <f>'[59]справочно СВОД'!$G$8641/1000</f>
        <v>1602.5830000000001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462340.47505900002</v>
      </c>
      <c r="C11" s="116">
        <f t="shared" si="0"/>
        <v>1.2709999999999999</v>
      </c>
      <c r="D11" s="117">
        <f>[61]СВОД!$H$8290/1000+[61]СВОД!$H$8293/1000</f>
        <v>1.2709999999999999</v>
      </c>
      <c r="E11" s="182">
        <f>[28]СВОД!$H$8282/1000</f>
        <v>0</v>
      </c>
      <c r="F11" s="163">
        <v>0</v>
      </c>
      <c r="G11" s="116">
        <f t="shared" si="1"/>
        <v>160109.84205899999</v>
      </c>
      <c r="H11" s="139">
        <f>([59]СВОД!$H$4564)/1000-L11-D11</f>
        <v>126611.26702700001</v>
      </c>
      <c r="I11" s="113">
        <f>([59]СВОД!$H$4561+[59]СВОД!$H$4562)/1000-M11-E11</f>
        <v>31008.341031999997</v>
      </c>
      <c r="J11" s="162">
        <f>[59]СВОД!$H$1255/1000-N11-F11</f>
        <v>2490.2340000000113</v>
      </c>
      <c r="K11" s="116">
        <f t="shared" si="2"/>
        <v>302229.36200000002</v>
      </c>
      <c r="L11" s="178">
        <f>([62]СВОД!$G$20+[62]СВОД!$G$28+[62]СВОД!$G$129)/1000</f>
        <v>178287.46900000001</v>
      </c>
      <c r="M11" s="114">
        <f>([62]СВОД!$G$18+[62]СВОД!$G$19+[62]СВОД!$G$37+[62]СВОД!$G$128+[62]СВОД!$G$192)/1000</f>
        <v>54507.69</v>
      </c>
      <c r="N11" s="122">
        <f>'[59]справочно СВОД'!$H$8641/1000</f>
        <v>69434.202999999994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1877191.4743039999</v>
      </c>
      <c r="C12" s="186">
        <f>SUM(C6:C11)</f>
        <v>19757.741999999998</v>
      </c>
      <c r="D12" s="186">
        <f t="shared" si="3"/>
        <v>70.483999999999995</v>
      </c>
      <c r="E12" s="186">
        <f t="shared" si="3"/>
        <v>18774.23</v>
      </c>
      <c r="F12" s="186">
        <f t="shared" si="3"/>
        <v>913.02800000000002</v>
      </c>
      <c r="G12" s="186">
        <f>SUM(G6:G11)</f>
        <v>956007.57430400001</v>
      </c>
      <c r="H12" s="186">
        <f>SUM(H6:H11)</f>
        <v>281947.64121199999</v>
      </c>
      <c r="I12" s="186">
        <f t="shared" si="3"/>
        <v>520528.24509999994</v>
      </c>
      <c r="J12" s="186">
        <f t="shared" si="3"/>
        <v>153531.68799200008</v>
      </c>
      <c r="K12" s="186">
        <f t="shared" si="3"/>
        <v>901426.15800000005</v>
      </c>
      <c r="L12" s="186">
        <f t="shared" si="3"/>
        <v>408163.37600000005</v>
      </c>
      <c r="M12" s="186">
        <f t="shared" si="3"/>
        <v>350191.25</v>
      </c>
      <c r="N12" s="186">
        <f>SUM(N6:N11)</f>
        <v>143071.53199999998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[43]СВОД!$C$24/1000</f>
        <v>448396.102587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117411.67688799999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'[63]Акт наш вариант '!$B$21/1000</f>
        <v>9422.357</v>
      </c>
      <c r="D19" s="68" t="s">
        <v>56</v>
      </c>
      <c r="E19" s="149"/>
      <c r="F19" s="149"/>
      <c r="G19" s="125"/>
      <c r="H19" s="125"/>
      <c r="I19" s="125"/>
      <c r="J19" s="125"/>
      <c r="K19" s="175">
        <f>[62]СВОД!$C$9/1000-K6</f>
        <v>0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456.51399999999921</v>
      </c>
      <c r="D20" s="68"/>
      <c r="E20" s="149"/>
      <c r="F20" s="149"/>
      <c r="G20" s="125"/>
      <c r="H20" s="127"/>
      <c r="I20" s="127"/>
      <c r="J20" s="128"/>
      <c r="K20" s="175">
        <f>[62]СВОД!$C$37/1000</f>
        <v>153.87100000000001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9422.357</v>
      </c>
      <c r="D21" s="172" t="s">
        <v>55</v>
      </c>
      <c r="E21" s="171">
        <f>[61]СВОД!$C$8280</f>
        <v>9422357</v>
      </c>
      <c r="F21" s="149"/>
      <c r="G21" s="125"/>
      <c r="H21" s="129"/>
      <c r="I21" s="129"/>
      <c r="J21" s="126"/>
      <c r="K21" s="174">
        <f>K19-K20</f>
        <v>-153.87100000000001</v>
      </c>
      <c r="L21" s="175"/>
      <c r="M21" s="175">
        <f>'[59]справочно СВОД'!$C$8641-'[64]справочно СВОД'!$C$8641</f>
        <v>0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456.51399999999921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-153871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181">
        <f>C20-C22</f>
        <v>0</v>
      </c>
      <c r="D24" s="68"/>
      <c r="E24" s="149"/>
      <c r="F24" s="156"/>
      <c r="G24" s="128"/>
      <c r="H24" s="129"/>
      <c r="I24" s="129"/>
      <c r="J24" s="125"/>
      <c r="K24" s="174">
        <f>K23+M21</f>
        <v>-153871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  <mergeCell ref="K4:K5"/>
    <mergeCell ref="L4:N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6"/>
  <sheetViews>
    <sheetView view="pageBreakPreview" zoomScaleNormal="100" zoomScaleSheetLayoutView="100" workbookViewId="0">
      <selection activeCell="J23" sqref="J23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3.710937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79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73</v>
      </c>
      <c r="D3" s="221"/>
      <c r="E3" s="221"/>
      <c r="F3" s="222"/>
      <c r="G3" s="220" t="s">
        <v>59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74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7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1003980.317448</v>
      </c>
      <c r="C6" s="105">
        <f t="shared" ref="C6:C11" si="0">D6+E6+F6</f>
        <v>10030.581999999999</v>
      </c>
      <c r="D6" s="106">
        <f>SUM(D7:D11)</f>
        <v>42.228000000000002</v>
      </c>
      <c r="E6" s="107">
        <f>SUM(E7:E11)</f>
        <v>9518.2330000000002</v>
      </c>
      <c r="F6" s="107">
        <f>SUM(F7:F11)</f>
        <v>470.12099999999998</v>
      </c>
      <c r="G6" s="105">
        <f t="shared" ref="G6:G11" si="1">H6+I6+J6</f>
        <v>511974.80744799989</v>
      </c>
      <c r="H6" s="137">
        <f>SUM(H7:H11)</f>
        <v>157679.81173199994</v>
      </c>
      <c r="I6" s="107">
        <f>SUM(I7:I11)</f>
        <v>270259.06571599998</v>
      </c>
      <c r="J6" s="106">
        <f>SUM(J7:J11)</f>
        <v>84035.93</v>
      </c>
      <c r="K6" s="105">
        <f t="shared" ref="K6:K11" si="2">L6+M6+N6</f>
        <v>481974.92799999996</v>
      </c>
      <c r="L6" s="123">
        <f>SUM(L7:L11)</f>
        <v>216685.84399999998</v>
      </c>
      <c r="M6" s="109">
        <f>SUM(M7:M11)</f>
        <v>180351.59400000001</v>
      </c>
      <c r="N6" s="108">
        <f>SUM(N7:N11)</f>
        <v>84937.49</v>
      </c>
      <c r="O6" s="146"/>
      <c r="P6" s="133">
        <f>C6+G6+K6</f>
        <v>1003980.3174479998</v>
      </c>
      <c r="Q6" s="134">
        <f>[65]СВОД!$C$11/1000</f>
        <v>1003980.317448</v>
      </c>
      <c r="R6" s="183">
        <f>P6-Q6</f>
        <v>0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/>
      <c r="F7" s="157"/>
      <c r="G7" s="111">
        <f t="shared" si="1"/>
        <v>0</v>
      </c>
      <c r="H7" s="139"/>
      <c r="I7" s="157"/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>
        <f>'[66]Раздел III'!$F$32+'[66]Раздел III'!$F$35</f>
        <v>1003980.3174479998</v>
      </c>
      <c r="R7" s="185">
        <f>P6-Q7</f>
        <v>0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189785.66669899996</v>
      </c>
      <c r="C8" s="111">
        <f t="shared" si="0"/>
        <v>10026.764999999999</v>
      </c>
      <c r="D8" s="112">
        <f>[67]СВОД!$K$8284/1000+[67]СВОД!$K$8287/1000</f>
        <v>38.411000000000001</v>
      </c>
      <c r="E8" s="176">
        <f>[67]СВОД!$E$8281/1000+[67]СВОД!$E$8282/1000</f>
        <v>9518.2330000000002</v>
      </c>
      <c r="F8" s="113">
        <f>'[65]справочно СВОД'!$C$8709/1000</f>
        <v>470.12099999999998</v>
      </c>
      <c r="G8" s="111">
        <f t="shared" si="1"/>
        <v>177971.93569899999</v>
      </c>
      <c r="H8" s="139">
        <f>([65]СВОД!$E$4564)/1000-L8-D8</f>
        <v>2573.1696990000009</v>
      </c>
      <c r="I8" s="113">
        <f>([65]СВОД!$E$4561+[65]СВОД!$E$4562)/1000-M8-E8</f>
        <v>97612.864999999991</v>
      </c>
      <c r="J8" s="162">
        <f>[65]СВОД!$E$1255/1000-N8-F8</f>
        <v>77785.900999999998</v>
      </c>
      <c r="K8" s="111">
        <f t="shared" si="2"/>
        <v>1786.9659999999999</v>
      </c>
      <c r="L8" s="124">
        <f>[68]СВОД!$D$20/1000</f>
        <v>83.2</v>
      </c>
      <c r="M8" s="114">
        <f>([68]СВОД!$D$18+[68]СВОД!$D$19+[68]СВОД!$D$37+[68]СВОД!$D$128+[68]СВОД!$D$192)/1000</f>
        <v>979.88400000000001</v>
      </c>
      <c r="N8" s="121">
        <f>'[65]справочно СВОД'!$E$8641/1000</f>
        <v>723.88199999999995</v>
      </c>
      <c r="O8" s="147"/>
      <c r="P8" s="131"/>
      <c r="Q8" s="184">
        <f>Q7-Q6</f>
        <v>0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28351.377000000004</v>
      </c>
      <c r="C9" s="111">
        <f t="shared" si="0"/>
        <v>0</v>
      </c>
      <c r="D9" s="112"/>
      <c r="E9" s="176">
        <f>([24]СВОД!$F$8281+[24]СВОД!$F$8282)/1000</f>
        <v>0</v>
      </c>
      <c r="F9" s="113"/>
      <c r="G9" s="111">
        <f t="shared" si="1"/>
        <v>27820.835000000003</v>
      </c>
      <c r="H9" s="139">
        <f>([65]СВОД!$F$4564)/1000-L9-D9</f>
        <v>428.81</v>
      </c>
      <c r="I9" s="113">
        <f>([65]СВОД!$F$4561+[65]СВОД!$F$4562)/1000-M9-E9</f>
        <v>27177.232</v>
      </c>
      <c r="J9" s="162">
        <f>[65]СВОД!$F$1255/1000-N9-F9</f>
        <v>214.79300000000001</v>
      </c>
      <c r="K9" s="111">
        <f t="shared" si="2"/>
        <v>530.54200000000003</v>
      </c>
      <c r="L9" s="124">
        <f>([25]СВОД!$E$15+[25]СВОД!$E$23+[25]СВОД!$E$49+[25]СВОД!$E$37)/1000</f>
        <v>0</v>
      </c>
      <c r="M9" s="114">
        <f>([68]СВОД!$E$18+[68]СВОД!$E$19+[68]СВОД!$E$37+[68]СВОД!$E$128+[68]СВОД!$E$192)/1000</f>
        <v>530.54200000000003</v>
      </c>
      <c r="N9" s="121">
        <f>'[26]справочно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280726.93890299997</v>
      </c>
      <c r="C10" s="111">
        <f t="shared" si="0"/>
        <v>0</v>
      </c>
      <c r="D10" s="112">
        <v>0</v>
      </c>
      <c r="E10" s="176">
        <f>[27]СВОД!$G$8282</f>
        <v>0</v>
      </c>
      <c r="F10" s="164"/>
      <c r="G10" s="111">
        <f t="shared" si="1"/>
        <v>128781.547903</v>
      </c>
      <c r="H10" s="139">
        <f>([65]СВОД!$G$4564)/1000-L10-D10</f>
        <v>12973.781472999988</v>
      </c>
      <c r="I10" s="113">
        <f>([65]СВОД!$G$4561+[65]СВОД!$G$4562)/1000-M10-E10</f>
        <v>113316.35043000001</v>
      </c>
      <c r="J10" s="162">
        <f>[65]СВОД!$G$1255/1000-N10-F10</f>
        <v>2491.4160000000006</v>
      </c>
      <c r="K10" s="111">
        <f t="shared" si="2"/>
        <v>151945.391</v>
      </c>
      <c r="L10" s="124">
        <f>([68]СВОД!$F$20+[68]СВОД!$F$28+[68]СВОД!$F$129)/1000</f>
        <v>27284.347000000002</v>
      </c>
      <c r="M10" s="114">
        <f>([68]СВОД!$F$18+[68]СВОД!$F$19+[68]СВОД!$F$37+[68]СВОД!$F$128+[68]СВОД!$F$192)/1000</f>
        <v>122511.74800000001</v>
      </c>
      <c r="N10" s="121">
        <f>'[65]справочно СВОД'!$G$8641/1000</f>
        <v>2149.2959999999998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505116.33484599995</v>
      </c>
      <c r="C11" s="116">
        <f t="shared" si="0"/>
        <v>3.8170000000000002</v>
      </c>
      <c r="D11" s="117">
        <f>[67]СВОД!$H$8290/1000+[67]СВОД!$H$8293/1000</f>
        <v>3.8170000000000002</v>
      </c>
      <c r="E11" s="182">
        <f>[28]СВОД!$H$8282/1000</f>
        <v>0</v>
      </c>
      <c r="F11" s="163">
        <v>0</v>
      </c>
      <c r="G11" s="116">
        <f t="shared" si="1"/>
        <v>177400.48884599993</v>
      </c>
      <c r="H11" s="139">
        <f>([65]СВОД!$H$4564)/1000-L11-D11</f>
        <v>141704.05055999995</v>
      </c>
      <c r="I11" s="113">
        <f>([65]СВОД!$H$4561+[65]СВОД!$H$4562)/1000-M11-E11</f>
        <v>32152.618285999997</v>
      </c>
      <c r="J11" s="162">
        <f>[65]СВОД!$H$1255/1000-N11-F11</f>
        <v>3543.8199999999924</v>
      </c>
      <c r="K11" s="116">
        <f t="shared" si="2"/>
        <v>327712.02899999998</v>
      </c>
      <c r="L11" s="178">
        <f>([68]СВОД!$G$20+[68]СВОД!$G$28+[68]СВОД!$G$129)/1000</f>
        <v>189318.29699999999</v>
      </c>
      <c r="M11" s="114">
        <f>([68]СВОД!$G$18+[68]СВОД!$G$19+[68]СВОД!$G$37+[68]СВОД!$G$128+[68]СВОД!$G$192)/1000</f>
        <v>56329.42</v>
      </c>
      <c r="N11" s="122">
        <f>'[65]справочно СВОД'!$H$8641/1000</f>
        <v>82064.312000000005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2007960.6348959999</v>
      </c>
      <c r="C12" s="186">
        <f>SUM(C6:C11)</f>
        <v>20061.163999999997</v>
      </c>
      <c r="D12" s="186">
        <f t="shared" si="3"/>
        <v>84.456000000000017</v>
      </c>
      <c r="E12" s="186">
        <f t="shared" si="3"/>
        <v>19036.466</v>
      </c>
      <c r="F12" s="186">
        <f t="shared" si="3"/>
        <v>940.24199999999996</v>
      </c>
      <c r="G12" s="186">
        <f>SUM(G6:G11)</f>
        <v>1023949.6148959998</v>
      </c>
      <c r="H12" s="186">
        <f>SUM(H6:H11)</f>
        <v>315359.62346399983</v>
      </c>
      <c r="I12" s="186">
        <f t="shared" si="3"/>
        <v>540518.13143199997</v>
      </c>
      <c r="J12" s="186">
        <f t="shared" si="3"/>
        <v>168071.86</v>
      </c>
      <c r="K12" s="186">
        <f t="shared" si="3"/>
        <v>963949.85600000003</v>
      </c>
      <c r="L12" s="186">
        <f t="shared" si="3"/>
        <v>433371.68799999997</v>
      </c>
      <c r="M12" s="186">
        <f t="shared" si="3"/>
        <v>360703.18799999997</v>
      </c>
      <c r="N12" s="186">
        <f>SUM(N6:N11)</f>
        <v>169874.98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[43]СВОД!$C$24/1000</f>
        <v>448396.102587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83440.656592000101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'[69]Акт наш вариант '!$B$21/1000</f>
        <v>9560.4609999999993</v>
      </c>
      <c r="D19" s="68" t="s">
        <v>56</v>
      </c>
      <c r="E19" s="149"/>
      <c r="F19" s="149"/>
      <c r="G19" s="125"/>
      <c r="H19" s="125"/>
      <c r="I19" s="125"/>
      <c r="J19" s="125"/>
      <c r="K19" s="175">
        <f>[68]СВОД!$C$9/1000-K6</f>
        <v>200.53200000006473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470.12099999999919</v>
      </c>
      <c r="D20" s="68"/>
      <c r="E20" s="149"/>
      <c r="F20" s="149"/>
      <c r="G20" s="125"/>
      <c r="H20" s="127"/>
      <c r="I20" s="127"/>
      <c r="J20" s="128"/>
      <c r="K20" s="175">
        <f>[68]СВОД!$C$37/1000</f>
        <v>166.827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9560.4609999999993</v>
      </c>
      <c r="D21" s="172" t="s">
        <v>55</v>
      </c>
      <c r="E21" s="171">
        <f>[67]СВОД!$C$8280</f>
        <v>9560461</v>
      </c>
      <c r="F21" s="149"/>
      <c r="G21" s="125"/>
      <c r="H21" s="129"/>
      <c r="I21" s="129"/>
      <c r="J21" s="126"/>
      <c r="K21" s="174">
        <f>K19-K20</f>
        <v>33.705000000064729</v>
      </c>
      <c r="L21" s="175"/>
      <c r="M21" s="175">
        <f>'[65]справочно СВОД'!$C$8641-'[70]справочно СВОД'!$C$8641</f>
        <v>-200532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470.12099999999919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33705.000000064727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181">
        <f>C20-C22</f>
        <v>0</v>
      </c>
      <c r="D24" s="68"/>
      <c r="E24" s="149"/>
      <c r="F24" s="156"/>
      <c r="G24" s="128"/>
      <c r="H24" s="129"/>
      <c r="I24" s="129"/>
      <c r="J24" s="125"/>
      <c r="K24" s="174">
        <f>K23+M21</f>
        <v>-166826.99999993527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  <mergeCell ref="K4:K5"/>
    <mergeCell ref="L4:N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6"/>
  <sheetViews>
    <sheetView view="pageBreakPreview" zoomScaleNormal="100" zoomScaleSheetLayoutView="100" workbookViewId="0">
      <selection activeCell="F8" sqref="F8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3.710937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80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73</v>
      </c>
      <c r="D3" s="221"/>
      <c r="E3" s="221"/>
      <c r="F3" s="222"/>
      <c r="G3" s="220" t="s">
        <v>59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74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7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1098199.1125369999</v>
      </c>
      <c r="C6" s="105">
        <f t="shared" ref="C6:C11" si="0">D6+E6+F6</f>
        <v>10076.636999999999</v>
      </c>
      <c r="D6" s="106">
        <f>SUM(D7:D11)</f>
        <v>41.381</v>
      </c>
      <c r="E6" s="107">
        <f>SUM(E7:E11)</f>
        <v>9531.1739999999991</v>
      </c>
      <c r="F6" s="107">
        <f>SUM(F7:F11)</f>
        <v>504.08199999999999</v>
      </c>
      <c r="G6" s="105">
        <f t="shared" ref="G6:G11" si="1">H6+I6+J6</f>
        <v>547215.09953699983</v>
      </c>
      <c r="H6" s="137">
        <f>SUM(H7:H11)</f>
        <v>168035.61435699984</v>
      </c>
      <c r="I6" s="107">
        <f>SUM(I7:I11)</f>
        <v>285827.371178</v>
      </c>
      <c r="J6" s="106">
        <f>SUM(J7:J11)</f>
        <v>93352.114002000002</v>
      </c>
      <c r="K6" s="105">
        <f t="shared" ref="K6:K11" si="2">L6+M6+N6</f>
        <v>540907.37600000005</v>
      </c>
      <c r="L6" s="123">
        <f>SUM(L7:L11)</f>
        <v>255044.57</v>
      </c>
      <c r="M6" s="109">
        <f>SUM(M7:M11)</f>
        <v>201404.647</v>
      </c>
      <c r="N6" s="108">
        <f>SUM(N7:N11)</f>
        <v>84458.159</v>
      </c>
      <c r="O6" s="146"/>
      <c r="P6" s="133">
        <f>C6+G6+K6</f>
        <v>1098199.1125369999</v>
      </c>
      <c r="Q6" s="134">
        <f>[71]СВОД!$C$11/1000</f>
        <v>1098199.1125369999</v>
      </c>
      <c r="R6" s="183">
        <f>P6-Q6</f>
        <v>0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/>
      <c r="F7" s="157"/>
      <c r="G7" s="111">
        <f t="shared" si="1"/>
        <v>0</v>
      </c>
      <c r="H7" s="139"/>
      <c r="I7" s="157"/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>
        <f>'[72]Раздел III'!$F$32+'[72]Раздел III'!$F$35</f>
        <v>1098199.1125369999</v>
      </c>
      <c r="R7" s="185">
        <f>P6-Q7</f>
        <v>0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203981.39030000003</v>
      </c>
      <c r="C8" s="111">
        <f t="shared" si="0"/>
        <v>10071.764999999999</v>
      </c>
      <c r="D8" s="112">
        <f>[73]СВОД!$K$8284/1000+[73]СВОД!$K$8287/1000</f>
        <v>36.509</v>
      </c>
      <c r="E8" s="176">
        <f>[73]СВОД!$E$8281/1000+[73]СВОД!$E$8282/1000+[73]СВОД!$H$8281/1000</f>
        <v>9531.1739999999991</v>
      </c>
      <c r="F8" s="113">
        <f>'[71]справочно СВОД'!$C$8709/1000</f>
        <v>504.08199999999999</v>
      </c>
      <c r="G8" s="111">
        <f t="shared" si="1"/>
        <v>192095.50530000002</v>
      </c>
      <c r="H8" s="139">
        <f>([71]СВОД!$E$4564)/1000-L8-D8</f>
        <v>3194.3792999999991</v>
      </c>
      <c r="I8" s="113">
        <f>([71]СВОД!$E$4561+[71]СВОД!$E$4562)/1000-M8-E8</f>
        <v>101502.501</v>
      </c>
      <c r="J8" s="162">
        <f>[71]СВОД!$E$1255/1000-N8-F8</f>
        <v>87398.625</v>
      </c>
      <c r="K8" s="111">
        <f t="shared" si="2"/>
        <v>1814.1200000000001</v>
      </c>
      <c r="L8" s="124">
        <f>[74]СВОД!$D$20/1000</f>
        <v>84.4</v>
      </c>
      <c r="M8" s="114">
        <f>([74]СВОД!$D$18+[74]СВОД!$D$19+[74]СВОД!$D$37+[74]СВОД!$D$128+[74]СВОД!$D$192)/1000</f>
        <v>1100.69</v>
      </c>
      <c r="N8" s="121">
        <f>'[71]справочно СВОД'!$E$8641/1000</f>
        <v>629.03</v>
      </c>
      <c r="O8" s="147"/>
      <c r="P8" s="131"/>
      <c r="Q8" s="184">
        <f>Q7-Q6</f>
        <v>0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28615.513430999999</v>
      </c>
      <c r="C9" s="111">
        <f t="shared" si="0"/>
        <v>0</v>
      </c>
      <c r="D9" s="112"/>
      <c r="E9" s="176">
        <f>([24]СВОД!$F$8281+[24]СВОД!$F$8282)/1000</f>
        <v>0</v>
      </c>
      <c r="F9" s="113"/>
      <c r="G9" s="111">
        <f t="shared" si="1"/>
        <v>28071.792430999998</v>
      </c>
      <c r="H9" s="139">
        <f>([71]СВОД!$F$4564)/1000-L9-D9</f>
        <v>453.94400000000002</v>
      </c>
      <c r="I9" s="113">
        <f>([71]СВОД!$F$4561+[71]СВОД!$F$4562)/1000-M9-E9</f>
        <v>27368.855431</v>
      </c>
      <c r="J9" s="162">
        <f>[71]СВОД!$F$1255/1000-N9-F9</f>
        <v>248.99299999999999</v>
      </c>
      <c r="K9" s="111">
        <f t="shared" si="2"/>
        <v>543.721</v>
      </c>
      <c r="L9" s="124">
        <f>([25]СВОД!$E$15+[25]СВОД!$E$23+[25]СВОД!$E$49+[25]СВОД!$E$37)/1000</f>
        <v>0</v>
      </c>
      <c r="M9" s="114">
        <f>([74]СВОД!$E$18+[74]СВОД!$E$19+[74]СВОД!$E$37+[74]СВОД!$E$128+[74]СВОД!$E$192)/1000</f>
        <v>543.721</v>
      </c>
      <c r="N9" s="121">
        <f>'[26]справочно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307865.94293699996</v>
      </c>
      <c r="C10" s="111">
        <f t="shared" si="0"/>
        <v>0</v>
      </c>
      <c r="D10" s="112">
        <v>0</v>
      </c>
      <c r="E10" s="176">
        <f>[27]СВОД!$G$8282</f>
        <v>0</v>
      </c>
      <c r="F10" s="164"/>
      <c r="G10" s="111">
        <f t="shared" si="1"/>
        <v>137702.69293699999</v>
      </c>
      <c r="H10" s="139">
        <f>([71]СВОД!$G$4564)/1000-L10-D10</f>
        <v>14041.434828999983</v>
      </c>
      <c r="I10" s="113">
        <f>([71]СВОД!$G$4561+[71]СВОД!$G$4562)/1000-M10-E10</f>
        <v>121070.31410600001</v>
      </c>
      <c r="J10" s="162">
        <f>[71]СВОД!$G$1255/1000-N10-F10</f>
        <v>2590.9440020000002</v>
      </c>
      <c r="K10" s="111">
        <f t="shared" si="2"/>
        <v>170163.25</v>
      </c>
      <c r="L10" s="124">
        <f>([74]СВОД!$F$20+[74]СВОД!$F$28+[74]СВОД!$F$129)/1000</f>
        <v>33291.777000000002</v>
      </c>
      <c r="M10" s="114">
        <f>([74]СВОД!$F$18+[74]СВОД!$F$19+[74]СВОД!$F$37+[74]СВОД!$F$128+[74]СВОД!$F$192)/1000</f>
        <v>134650.041</v>
      </c>
      <c r="N10" s="121">
        <f>'[71]справочно СВОД'!$G$8641/1000</f>
        <v>2221.4319999999998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557736.26586899976</v>
      </c>
      <c r="C11" s="116">
        <f t="shared" si="0"/>
        <v>4.8719999999999999</v>
      </c>
      <c r="D11" s="117">
        <f>[73]СВОД!$H$8290/1000+[73]СВОД!$H$8293/1000</f>
        <v>4.8719999999999999</v>
      </c>
      <c r="E11" s="182">
        <f>[28]СВОД!$H$8282/1000</f>
        <v>0</v>
      </c>
      <c r="F11" s="163">
        <v>0</v>
      </c>
      <c r="G11" s="116">
        <f t="shared" si="1"/>
        <v>189345.10886899981</v>
      </c>
      <c r="H11" s="139">
        <f>([71]СВОД!$H$4564)/1000-L11-D11</f>
        <v>150345.85622799984</v>
      </c>
      <c r="I11" s="113">
        <f>([71]СВОД!$H$4561+[71]СВОД!$H$4562)/1000-M11-E11</f>
        <v>35885.700640999981</v>
      </c>
      <c r="J11" s="162">
        <f>[71]СВОД!$H$1255/1000-N11-F11</f>
        <v>3113.551999999996</v>
      </c>
      <c r="K11" s="116">
        <f t="shared" si="2"/>
        <v>368386.28499999997</v>
      </c>
      <c r="L11" s="178">
        <f>([74]СВОД!$G$20+[74]СВОД!$G$28+[74]СВОД!$G$129)/1000</f>
        <v>221668.39300000001</v>
      </c>
      <c r="M11" s="114">
        <f>([74]СВОД!$G$18+[74]СВОД!$G$19+[74]СВОД!$G$37+[74]СВОД!$G$128+[74]СВОД!$G$192)/1000</f>
        <v>65110.195</v>
      </c>
      <c r="N11" s="122">
        <f>'[71]справочно СВОД'!$H$8641/1000</f>
        <v>81607.697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2196398.2250739997</v>
      </c>
      <c r="C12" s="186">
        <f>SUM(C6:C11)</f>
        <v>20153.273999999998</v>
      </c>
      <c r="D12" s="186">
        <f t="shared" si="3"/>
        <v>82.762</v>
      </c>
      <c r="E12" s="186">
        <f t="shared" si="3"/>
        <v>19062.347999999998</v>
      </c>
      <c r="F12" s="186">
        <f t="shared" si="3"/>
        <v>1008.164</v>
      </c>
      <c r="G12" s="186">
        <f>SUM(G6:G11)</f>
        <v>1094430.1990739997</v>
      </c>
      <c r="H12" s="186">
        <f>SUM(H6:H11)</f>
        <v>336071.22871399962</v>
      </c>
      <c r="I12" s="186">
        <f t="shared" si="3"/>
        <v>571654.742356</v>
      </c>
      <c r="J12" s="186">
        <f t="shared" si="3"/>
        <v>186704.228004</v>
      </c>
      <c r="K12" s="186">
        <f t="shared" si="3"/>
        <v>1081814.7520000001</v>
      </c>
      <c r="L12" s="186">
        <f t="shared" si="3"/>
        <v>510089.14</v>
      </c>
      <c r="M12" s="186">
        <f t="shared" si="3"/>
        <v>402809.29399999999</v>
      </c>
      <c r="N12" s="186">
        <f>SUM(N6:N11)</f>
        <v>168916.318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[43]СВОД!$C$24/1000</f>
        <v>448396.102587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48200.364503000164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'[75]Акт наш вариант '!$B$21/1000</f>
        <v>9572.5550000000003</v>
      </c>
      <c r="D19" s="68" t="s">
        <v>56</v>
      </c>
      <c r="E19" s="149"/>
      <c r="F19" s="149"/>
      <c r="G19" s="125"/>
      <c r="H19" s="125"/>
      <c r="I19" s="125"/>
      <c r="J19" s="125"/>
      <c r="K19" s="175">
        <f>[74]СВОД!$C$9/1000-K6</f>
        <v>-7.5890000000363216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504.08199999999852</v>
      </c>
      <c r="D20" s="68"/>
      <c r="E20" s="149"/>
      <c r="F20" s="149"/>
      <c r="G20" s="125"/>
      <c r="H20" s="127"/>
      <c r="I20" s="127"/>
      <c r="J20" s="128"/>
      <c r="K20" s="175">
        <f>[74]СВОД!$C$37/1000</f>
        <v>184.24100000000001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9572.5549999999985</v>
      </c>
      <c r="D21" s="172" t="s">
        <v>55</v>
      </c>
      <c r="E21" s="171">
        <f>[73]СВОД!$C$8280</f>
        <v>9572555</v>
      </c>
      <c r="F21" s="149"/>
      <c r="G21" s="125"/>
      <c r="H21" s="129"/>
      <c r="I21" s="129"/>
      <c r="J21" s="126"/>
      <c r="K21" s="174">
        <f>K19-K20</f>
        <v>-191.83000000003634</v>
      </c>
      <c r="L21" s="175"/>
      <c r="M21" s="175">
        <f>'[71]справочно СВОД'!$C$8641-'[76]справочно СВОД'!$C$8641</f>
        <v>7589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504.08200000000033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-191830.00000003632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181">
        <f>C20-C22</f>
        <v>-1.8189894035458565E-12</v>
      </c>
      <c r="D24" s="68"/>
      <c r="E24" s="149"/>
      <c r="F24" s="156"/>
      <c r="G24" s="128"/>
      <c r="H24" s="129"/>
      <c r="I24" s="129"/>
      <c r="J24" s="125"/>
      <c r="K24" s="174">
        <f>K23+M21</f>
        <v>-184241.00000003632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  <mergeCell ref="K4:K5"/>
    <mergeCell ref="L4:N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6"/>
  <sheetViews>
    <sheetView view="pageBreakPreview" zoomScaleNormal="100" zoomScaleSheetLayoutView="100" workbookViewId="0">
      <selection activeCell="J5" sqref="J5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3.710937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81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73</v>
      </c>
      <c r="D3" s="221"/>
      <c r="E3" s="221"/>
      <c r="F3" s="222"/>
      <c r="G3" s="220" t="s">
        <v>82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74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83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864436.84618799994</v>
      </c>
      <c r="C6" s="105">
        <f t="shared" ref="C6:C11" si="0">D6+E6+F6</f>
        <v>9386.2469999999994</v>
      </c>
      <c r="D6" s="106">
        <f>SUM(D7:D11)</f>
        <v>36.942000000000007</v>
      </c>
      <c r="E6" s="107">
        <f>SUM(E7:E11)</f>
        <v>8803.8919999999998</v>
      </c>
      <c r="F6" s="107">
        <f>SUM(F7:F11)</f>
        <v>545.41300000000001</v>
      </c>
      <c r="G6" s="105">
        <f t="shared" ref="G6:G11" si="1">H6+I6+J6</f>
        <v>438845.97018800001</v>
      </c>
      <c r="H6" s="137">
        <f>SUM(H7:H11)</f>
        <v>151678.53547599999</v>
      </c>
      <c r="I6" s="107">
        <f>SUM(I7:I11)</f>
        <v>246191.14771200001</v>
      </c>
      <c r="J6" s="106">
        <f>SUM(J7:J11)</f>
        <v>40976.286999999997</v>
      </c>
      <c r="K6" s="105">
        <f t="shared" ref="K6:K11" si="2">L6+M6+N6</f>
        <v>416204.62899999996</v>
      </c>
      <c r="L6" s="123">
        <f>SUM(L7:L11)</f>
        <v>210726.701</v>
      </c>
      <c r="M6" s="109">
        <f>SUM(M7:M11)</f>
        <v>160054.72</v>
      </c>
      <c r="N6" s="108">
        <f>SUM(N7:N11)</f>
        <v>45423.207999999999</v>
      </c>
      <c r="O6" s="146"/>
      <c r="P6" s="133">
        <f>C6+G6+K6</f>
        <v>864436.84618799994</v>
      </c>
      <c r="Q6" s="134">
        <f>[77]СВОД!$C$11/1000</f>
        <v>864436.84618799982</v>
      </c>
      <c r="R6" s="183">
        <f>P6-Q6</f>
        <v>0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/>
      <c r="F7" s="157"/>
      <c r="G7" s="111">
        <f t="shared" si="1"/>
        <v>0</v>
      </c>
      <c r="H7" s="139"/>
      <c r="I7" s="157"/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>
        <f>'[78]Раздел III'!$F$32+'[78]Раздел III'!$F$35</f>
        <v>864436.84618800005</v>
      </c>
      <c r="R7" s="185">
        <f>P6-Q7</f>
        <v>0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141847.26700099997</v>
      </c>
      <c r="C8" s="111">
        <f t="shared" si="0"/>
        <v>9387.8490000000002</v>
      </c>
      <c r="D8" s="112">
        <f>[79]СВОД!$K$8284/1000+[79]СВОД!$K$8287/1000</f>
        <v>38.544000000000004</v>
      </c>
      <c r="E8" s="176">
        <f>[79]СВОД!$E$8281/1000+[79]СВОД!$E$8282/1000+[79]СВОД!$H$8281/1000</f>
        <v>8803.8919999999998</v>
      </c>
      <c r="F8" s="113">
        <f>'[77]справочно СВОД'!$C$8709/1000</f>
        <v>545.41300000000001</v>
      </c>
      <c r="G8" s="111">
        <f t="shared" si="1"/>
        <v>131226.48900099998</v>
      </c>
      <c r="H8" s="139">
        <f>([77]СВОД!$E$4564)/1000-L8-D8</f>
        <v>2524.9890009999999</v>
      </c>
      <c r="I8" s="113">
        <f>([77]СВОД!$E$4561+[77]СВОД!$E$4562)/1000-M8-E8</f>
        <v>91288.774999999994</v>
      </c>
      <c r="J8" s="162">
        <f>[77]СВОД!$E$1255/1000-N8-F8</f>
        <v>37412.724999999999</v>
      </c>
      <c r="K8" s="111">
        <f t="shared" si="2"/>
        <v>1232.9289999999999</v>
      </c>
      <c r="L8" s="124">
        <f>[80]СВОД!$D$20/1000</f>
        <v>84</v>
      </c>
      <c r="M8" s="114">
        <f>([80]СВОД!$D$18+[80]СВОД!$D$19+[80]СВОД!$D$37+[80]СВОД!$D$128+[80]СВОД!$D$192)/1000</f>
        <v>934.37199999999996</v>
      </c>
      <c r="N8" s="121">
        <f>'[77]справочно СВОД'!$E$8641/1000</f>
        <v>214.55699999999999</v>
      </c>
      <c r="O8" s="147"/>
      <c r="P8" s="131"/>
      <c r="Q8" s="184">
        <f>Q7-Q6</f>
        <v>0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26006.890318999998</v>
      </c>
      <c r="C9" s="111">
        <f t="shared" si="0"/>
        <v>0</v>
      </c>
      <c r="D9" s="112"/>
      <c r="E9" s="176">
        <f>([24]СВОД!$F$8281+[24]СВОД!$F$8282)/1000</f>
        <v>0</v>
      </c>
      <c r="F9" s="113"/>
      <c r="G9" s="111">
        <f t="shared" si="1"/>
        <v>25498.961318999998</v>
      </c>
      <c r="H9" s="139">
        <f>([77]СВОД!$F$4564)/1000-L9-D9</f>
        <v>623.59199999999998</v>
      </c>
      <c r="I9" s="113">
        <f>([77]СВОД!$F$4561+[77]СВОД!$F$4562)/1000-M9-E9</f>
        <v>24618.205318999997</v>
      </c>
      <c r="J9" s="162">
        <f>[77]СВОД!$F$1255/1000-N9-F9</f>
        <v>257.16399999999999</v>
      </c>
      <c r="K9" s="111">
        <f t="shared" si="2"/>
        <v>507.92899999999997</v>
      </c>
      <c r="L9" s="124">
        <f>([25]СВОД!$E$15+[25]СВОД!$E$23+[25]СВОД!$E$49+[25]СВОД!$E$37)/1000</f>
        <v>0</v>
      </c>
      <c r="M9" s="114">
        <f>([80]СВОД!$E$18+[80]СВОД!$E$19+[80]СВОД!$E$37+[80]СВОД!$E$128+[80]СВОД!$E$192)/1000</f>
        <v>507.92899999999997</v>
      </c>
      <c r="N9" s="121">
        <f>'[26]справочно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248116.26180899999</v>
      </c>
      <c r="C10" s="111">
        <f t="shared" si="0"/>
        <v>0</v>
      </c>
      <c r="D10" s="112">
        <v>0</v>
      </c>
      <c r="E10" s="176">
        <f>[27]СВОД!$G$8282</f>
        <v>0</v>
      </c>
      <c r="F10" s="164"/>
      <c r="G10" s="111">
        <f t="shared" si="1"/>
        <v>113031.42080899999</v>
      </c>
      <c r="H10" s="139">
        <f>([77]СВОД!$G$4564)/1000-L10-D10</f>
        <v>10725.557781999989</v>
      </c>
      <c r="I10" s="113">
        <f>([77]СВОД!$G$4561+[77]СВОД!$G$4562)/1000-M10-E10</f>
        <v>100189.76602700001</v>
      </c>
      <c r="J10" s="162">
        <f>[77]СВОД!$G$1255/1000-N10-F10</f>
        <v>2116.0969999999998</v>
      </c>
      <c r="K10" s="111">
        <f t="shared" si="2"/>
        <v>135084.84100000001</v>
      </c>
      <c r="L10" s="124">
        <f>([80]СВОД!$F$20+[80]СВОД!$F$28+[80]СВОД!$F$129)/1000</f>
        <v>25023.114000000001</v>
      </c>
      <c r="M10" s="114">
        <f>([80]СВОД!$F$18+[80]СВОД!$F$19+[80]СВОД!$F$37+[80]СВОД!$F$128+[80]СВОД!$F$192)/1000</f>
        <v>108913.508</v>
      </c>
      <c r="N10" s="121">
        <f>'[77]справочно СВОД'!$G$8641/1000</f>
        <v>1148.2190000000001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448466.42705900001</v>
      </c>
      <c r="C11" s="116">
        <f t="shared" si="0"/>
        <v>-1.6019999999999999</v>
      </c>
      <c r="D11" s="117">
        <f>[79]СВОД!$H$8290/1000+[79]СВОД!$H$8293/1000</f>
        <v>-1.6019999999999999</v>
      </c>
      <c r="E11" s="182">
        <f>[28]СВОД!$H$8282/1000</f>
        <v>0</v>
      </c>
      <c r="F11" s="163">
        <v>0</v>
      </c>
      <c r="G11" s="116">
        <f t="shared" si="1"/>
        <v>169089.099059</v>
      </c>
      <c r="H11" s="139">
        <f>([77]СВОД!$H$4564)/1000-L11-D11</f>
        <v>137804.39669299999</v>
      </c>
      <c r="I11" s="113">
        <f>([77]СВОД!$H$4561+[77]СВОД!$H$4562)/1000-M11-E11</f>
        <v>30094.401365999998</v>
      </c>
      <c r="J11" s="162">
        <f>[77]СВОД!$H$1255/1000-N11-F11</f>
        <v>1190.3009999999995</v>
      </c>
      <c r="K11" s="116">
        <f t="shared" si="2"/>
        <v>279378.93</v>
      </c>
      <c r="L11" s="178">
        <f>([80]СВОД!$G$20+[80]СВОД!$G$28+[80]СВОД!$G$129)/1000</f>
        <v>185619.587</v>
      </c>
      <c r="M11" s="114">
        <f>([80]СВОД!$G$18+[80]СВОД!$G$19+[80]СВОД!$G$37+[80]СВОД!$G$128+[80]СВОД!$G$192)/1000</f>
        <v>49698.911</v>
      </c>
      <c r="N11" s="122">
        <f>'[77]справочно СВОД'!$H$8641/1000</f>
        <v>44060.432000000001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1728873.6923759999</v>
      </c>
      <c r="C12" s="186">
        <f>SUM(C6:C11)</f>
        <v>18772.493999999999</v>
      </c>
      <c r="D12" s="186">
        <f t="shared" si="3"/>
        <v>73.884000000000015</v>
      </c>
      <c r="E12" s="186">
        <f t="shared" si="3"/>
        <v>17607.784</v>
      </c>
      <c r="F12" s="186">
        <f t="shared" si="3"/>
        <v>1090.826</v>
      </c>
      <c r="G12" s="186">
        <f>SUM(G6:G11)</f>
        <v>877691.94037600001</v>
      </c>
      <c r="H12" s="186">
        <f>SUM(H6:H11)</f>
        <v>303357.07095199998</v>
      </c>
      <c r="I12" s="186">
        <f t="shared" si="3"/>
        <v>492382.29542399995</v>
      </c>
      <c r="J12" s="186">
        <f t="shared" si="3"/>
        <v>81952.573999999993</v>
      </c>
      <c r="K12" s="186">
        <f t="shared" si="3"/>
        <v>832409.25799999991</v>
      </c>
      <c r="L12" s="186">
        <f t="shared" si="3"/>
        <v>421453.402</v>
      </c>
      <c r="M12" s="186">
        <f t="shared" si="3"/>
        <v>320109.44</v>
      </c>
      <c r="N12" s="186">
        <f>SUM(N6:N11)</f>
        <v>90846.415999999997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[43]СВОД!$C$24/1000</f>
        <v>448396.102587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156569.49385199999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'[81]Акт наш вариант '!$B$21/1000</f>
        <v>8840.8340000000007</v>
      </c>
      <c r="D19" s="68" t="s">
        <v>56</v>
      </c>
      <c r="E19" s="149"/>
      <c r="F19" s="149"/>
      <c r="G19" s="125"/>
      <c r="H19" s="125"/>
      <c r="I19" s="125"/>
      <c r="J19" s="125"/>
      <c r="K19" s="175">
        <f>[80]СВОД!$C$9/1000-K6</f>
        <v>-0.69599999993806705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545.41299999999865</v>
      </c>
      <c r="D20" s="68"/>
      <c r="E20" s="149"/>
      <c r="F20" s="149"/>
      <c r="G20" s="125"/>
      <c r="H20" s="127"/>
      <c r="I20" s="127"/>
      <c r="J20" s="128"/>
      <c r="K20" s="175">
        <f>[80]СВОД!$C$37/1000</f>
        <v>125.098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8840.8339999999989</v>
      </c>
      <c r="D21" s="172" t="s">
        <v>55</v>
      </c>
      <c r="E21" s="171">
        <f>[79]СВОД!$C$8280</f>
        <v>8840834</v>
      </c>
      <c r="F21" s="149"/>
      <c r="G21" s="125"/>
      <c r="H21" s="129"/>
      <c r="I21" s="129"/>
      <c r="J21" s="126"/>
      <c r="K21" s="174">
        <f>K19-K20</f>
        <v>-125.79399999993807</v>
      </c>
      <c r="L21" s="175"/>
      <c r="M21" s="175">
        <f>'[77]справочно СВОД'!$C$8641-'[82]справочно СВОД'!$C$8641</f>
        <v>696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545.41300000000047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-125793.99999993807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181">
        <f>C20-C22</f>
        <v>-1.8189894035458565E-12</v>
      </c>
      <c r="D24" s="68"/>
      <c r="E24" s="149"/>
      <c r="F24" s="156"/>
      <c r="G24" s="128"/>
      <c r="H24" s="129"/>
      <c r="I24" s="129"/>
      <c r="J24" s="125"/>
      <c r="K24" s="174">
        <f>K23+M21</f>
        <v>-125097.99999993807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K4:K5"/>
    <mergeCell ref="L4:N4"/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6"/>
  <sheetViews>
    <sheetView view="pageBreakPreview" zoomScaleNormal="100" zoomScaleSheetLayoutView="100" workbookViewId="0">
      <selection activeCell="Q8" sqref="Q8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3.710937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73</v>
      </c>
      <c r="D3" s="221"/>
      <c r="E3" s="221"/>
      <c r="F3" s="222"/>
      <c r="G3" s="220" t="s">
        <v>82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74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83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969081.43838099996</v>
      </c>
      <c r="C6" s="105">
        <f t="shared" ref="C6:C11" si="0">D6+E6+F6</f>
        <v>10439.941999999999</v>
      </c>
      <c r="D6" s="106">
        <f>SUM(D7:D11)</f>
        <v>54.978000000000002</v>
      </c>
      <c r="E6" s="107">
        <f>SUM(E7:E11)</f>
        <v>9780.8359999999993</v>
      </c>
      <c r="F6" s="107">
        <f>SUM(F7:F11)</f>
        <v>604.12800000000004</v>
      </c>
      <c r="G6" s="105">
        <f t="shared" ref="G6:G11" si="1">H6+I6+J6</f>
        <v>499393.923381</v>
      </c>
      <c r="H6" s="137">
        <f>SUM(H7:H11)</f>
        <v>146531.96421599999</v>
      </c>
      <c r="I6" s="107">
        <f>SUM(I7:I11)</f>
        <v>250248.01216500002</v>
      </c>
      <c r="J6" s="106">
        <f>SUM(J7:J11)</f>
        <v>102613.947</v>
      </c>
      <c r="K6" s="105">
        <f t="shared" ref="K6:K11" si="2">L6+M6+N6</f>
        <v>459247.57300000003</v>
      </c>
      <c r="L6" s="123">
        <f>SUM(L7:L11)</f>
        <v>202654.389</v>
      </c>
      <c r="M6" s="109">
        <f>SUM(M7:M11)</f>
        <v>169902.22899999999</v>
      </c>
      <c r="N6" s="108">
        <f>SUM(N7:N11)</f>
        <v>86690.955000000002</v>
      </c>
      <c r="O6" s="146"/>
      <c r="P6" s="133">
        <f>C6+G6+K6</f>
        <v>969081.43838099996</v>
      </c>
      <c r="Q6" s="134">
        <f>[83]СВОД!$C$11/1000</f>
        <v>969081.43838100007</v>
      </c>
      <c r="R6" s="183">
        <f>P6-Q6</f>
        <v>0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/>
      <c r="F7" s="157"/>
      <c r="G7" s="111">
        <f t="shared" si="1"/>
        <v>0</v>
      </c>
      <c r="H7" s="139"/>
      <c r="I7" s="157"/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>
        <f>'[84]Раздел III'!$F$32+'[84]Раздел III'!$F$35</f>
        <v>969081.43838099996</v>
      </c>
      <c r="R7" s="185">
        <f>P6-Q7</f>
        <v>0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202129.02479999998</v>
      </c>
      <c r="C8" s="111">
        <f t="shared" si="0"/>
        <v>10438.950000000001</v>
      </c>
      <c r="D8" s="112">
        <f>[85]СВОД!$K$8284/1000+[85]СВОД!$K$8287/1000</f>
        <v>53.986000000000004</v>
      </c>
      <c r="E8" s="176">
        <f>[85]СВОД!$E$8281/1000+[85]СВОД!$E$8282/1000+[85]СВОД!$H$8281/1000</f>
        <v>9780.8359999999993</v>
      </c>
      <c r="F8" s="113">
        <f>'[83]справочно СВОД'!$C$8709/1000</f>
        <v>604.12800000000004</v>
      </c>
      <c r="G8" s="111">
        <f t="shared" si="1"/>
        <v>190120.19579999999</v>
      </c>
      <c r="H8" s="139">
        <f>([83]СВОД!$E$4564)/1000-L8-D8</f>
        <v>2271.2068000000004</v>
      </c>
      <c r="I8" s="113">
        <f>([83]СВОД!$E$4561+[83]СВОД!$E$4562)/1000-M8-E8</f>
        <v>90906.838000000003</v>
      </c>
      <c r="J8" s="162">
        <f>[83]СВОД!$E$1255/1000-N8-F8</f>
        <v>96942.150999999998</v>
      </c>
      <c r="K8" s="111">
        <f t="shared" si="2"/>
        <v>1569.8790000000001</v>
      </c>
      <c r="L8" s="124">
        <f>[86]СВОД!$D$20/1000</f>
        <v>111.6</v>
      </c>
      <c r="M8" s="114">
        <f>([86]СВОД!$D$18+[86]СВОД!$D$19+[86]СВОД!$D$37+[86]СВОД!$D$128+[86]СВОД!$D$192)/1000</f>
        <v>952.86900000000003</v>
      </c>
      <c r="N8" s="121">
        <f>'[83]справочно СВОД'!$E$8641/1000</f>
        <v>505.41</v>
      </c>
      <c r="O8" s="147"/>
      <c r="P8" s="131"/>
      <c r="Q8" s="184">
        <f>Q7-Q6</f>
        <v>0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26783.218391000002</v>
      </c>
      <c r="C9" s="111">
        <f t="shared" si="0"/>
        <v>0</v>
      </c>
      <c r="D9" s="112"/>
      <c r="E9" s="176">
        <f>([24]СВОД!$F$8281+[24]СВОД!$F$8282)/1000</f>
        <v>0</v>
      </c>
      <c r="F9" s="113"/>
      <c r="G9" s="111">
        <f t="shared" si="1"/>
        <v>26168.217391000002</v>
      </c>
      <c r="H9" s="139">
        <f>([83]СВОД!$F$4564)/1000-L9-D9</f>
        <v>818.93</v>
      </c>
      <c r="I9" s="113">
        <f>([83]СВОД!$F$4561+[83]СВОД!$F$4562)/1000-M9-E9</f>
        <v>25066.692391</v>
      </c>
      <c r="J9" s="162">
        <f>[83]СВОД!$F$1255/1000-N9-F9</f>
        <v>282.59500000000003</v>
      </c>
      <c r="K9" s="111">
        <f t="shared" si="2"/>
        <v>615.00099999999998</v>
      </c>
      <c r="L9" s="124">
        <f>([25]СВОД!$E$15+[25]СВОД!$E$23+[25]СВОД!$E$49+[25]СВОД!$E$37)/1000</f>
        <v>0</v>
      </c>
      <c r="M9" s="114">
        <f>([86]СВОД!$E$18+[86]СВОД!$E$19+[86]СВОД!$E$37+[86]СВОД!$E$128+[86]СВОД!$E$192)/1000</f>
        <v>615.00099999999998</v>
      </c>
      <c r="N9" s="121">
        <f>'[26]справочно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260997.03389700002</v>
      </c>
      <c r="C10" s="111">
        <f t="shared" si="0"/>
        <v>0</v>
      </c>
      <c r="D10" s="112">
        <v>0</v>
      </c>
      <c r="E10" s="176">
        <f>[27]СВОД!$G$8282</f>
        <v>0</v>
      </c>
      <c r="F10" s="164"/>
      <c r="G10" s="111">
        <f t="shared" si="1"/>
        <v>116722.11789700002</v>
      </c>
      <c r="H10" s="139">
        <f>([83]СВОД!$G$4564)/1000-L10-D10</f>
        <v>11469.012615999989</v>
      </c>
      <c r="I10" s="113">
        <f>([83]СВОД!$G$4561+[83]СВОД!$G$4562)/1000-M10-E10</f>
        <v>102557.61628100002</v>
      </c>
      <c r="J10" s="162">
        <f>[83]СВОД!$G$1255/1000-N10-F10</f>
        <v>2695.4889999999996</v>
      </c>
      <c r="K10" s="111">
        <f t="shared" si="2"/>
        <v>144274.916</v>
      </c>
      <c r="L10" s="124">
        <f>([86]СВОД!$F$20+[86]СВОД!$F$28+[86]СВОД!$F$129)/1000</f>
        <v>25148.069</v>
      </c>
      <c r="M10" s="114">
        <f>([86]СВОД!$F$18+[86]СВОД!$F$19+[86]СВОД!$F$37+[86]СВОД!$F$128+[86]СВОД!$F$192)/1000</f>
        <v>117098.1</v>
      </c>
      <c r="N10" s="121">
        <f>'[83]справочно СВОД'!$G$8641/1000</f>
        <v>2028.7470000000001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479172.16129299998</v>
      </c>
      <c r="C11" s="116">
        <f t="shared" si="0"/>
        <v>0.99199999999999999</v>
      </c>
      <c r="D11" s="117">
        <f>[85]СВОД!$H$8290/1000+[85]СВОД!$H$8293/1000</f>
        <v>0.99199999999999999</v>
      </c>
      <c r="E11" s="182">
        <f>[28]СВОД!$H$8282/1000</f>
        <v>0</v>
      </c>
      <c r="F11" s="163">
        <v>0</v>
      </c>
      <c r="G11" s="116">
        <f t="shared" si="1"/>
        <v>166383.39229299998</v>
      </c>
      <c r="H11" s="139">
        <f>([83]СВОД!$H$4564)/1000-L11-D11</f>
        <v>131972.81479999999</v>
      </c>
      <c r="I11" s="113">
        <f>([83]СВОД!$H$4561+[83]СВОД!$H$4562)/1000-M11-E11</f>
        <v>31716.865492999998</v>
      </c>
      <c r="J11" s="162">
        <f>[83]СВОД!$H$1255/1000-N11-F11</f>
        <v>2693.7119999999995</v>
      </c>
      <c r="K11" s="116">
        <f t="shared" si="2"/>
        <v>312787.777</v>
      </c>
      <c r="L11" s="178">
        <f>([86]СВОД!$G$20+[86]СВОД!$G$28+[86]СВОД!$G$129)/1000</f>
        <v>177394.72</v>
      </c>
      <c r="M11" s="114">
        <f>([86]СВОД!$G$18+[86]СВОД!$G$19+[86]СВОД!$G$37+[86]СВОД!$G$128+[86]СВОД!$G$192)/1000</f>
        <v>51236.258999999998</v>
      </c>
      <c r="N11" s="122">
        <f>'[83]справочно СВОД'!$H$8641/1000</f>
        <v>84156.797999999995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1938162.8767619999</v>
      </c>
      <c r="C12" s="186">
        <f>SUM(C6:C11)</f>
        <v>20879.883999999998</v>
      </c>
      <c r="D12" s="186">
        <f t="shared" si="3"/>
        <v>109.956</v>
      </c>
      <c r="E12" s="186">
        <f t="shared" si="3"/>
        <v>19561.671999999999</v>
      </c>
      <c r="F12" s="186">
        <f t="shared" si="3"/>
        <v>1208.2560000000001</v>
      </c>
      <c r="G12" s="186">
        <f>SUM(G6:G11)</f>
        <v>998787.846762</v>
      </c>
      <c r="H12" s="186">
        <f>SUM(H6:H11)</f>
        <v>293063.92843199999</v>
      </c>
      <c r="I12" s="186">
        <f t="shared" si="3"/>
        <v>500496.02433000004</v>
      </c>
      <c r="J12" s="186">
        <f t="shared" si="3"/>
        <v>205227.894</v>
      </c>
      <c r="K12" s="186">
        <f t="shared" si="3"/>
        <v>918495.14600000007</v>
      </c>
      <c r="L12" s="186">
        <f t="shared" si="3"/>
        <v>405308.77799999999</v>
      </c>
      <c r="M12" s="186">
        <f t="shared" si="3"/>
        <v>339804.45800000004</v>
      </c>
      <c r="N12" s="186">
        <f>SUM(N6:N11)</f>
        <v>173381.91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[43]СВОД!$C$24/1000</f>
        <v>448396.102587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96021.540658999991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'[87]Акт наш вариант '!$B$21/1000</f>
        <v>9835.8140000000003</v>
      </c>
      <c r="D19" s="68" t="s">
        <v>56</v>
      </c>
      <c r="E19" s="149"/>
      <c r="F19" s="149"/>
      <c r="G19" s="125"/>
      <c r="H19" s="125"/>
      <c r="I19" s="125"/>
      <c r="J19" s="125"/>
      <c r="K19" s="175">
        <f>[86]СВОД!$C$9/1000-K6</f>
        <v>-71.956000000005588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604.12799999999879</v>
      </c>
      <c r="D20" s="68"/>
      <c r="E20" s="149"/>
      <c r="F20" s="149"/>
      <c r="G20" s="125"/>
      <c r="H20" s="127"/>
      <c r="I20" s="127"/>
      <c r="J20" s="128"/>
      <c r="K20" s="175">
        <f>[86]СВОД!$C$37/1000</f>
        <v>120.706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9835.8139999999985</v>
      </c>
      <c r="D21" s="172" t="s">
        <v>55</v>
      </c>
      <c r="E21" s="171">
        <f>[85]СВОД!$C$8280</f>
        <v>9835814</v>
      </c>
      <c r="F21" s="149"/>
      <c r="G21" s="125"/>
      <c r="H21" s="129"/>
      <c r="I21" s="129"/>
      <c r="J21" s="126"/>
      <c r="K21" s="174">
        <f>K19-K20</f>
        <v>-192.66200000000561</v>
      </c>
      <c r="L21" s="175"/>
      <c r="M21" s="175">
        <f>'[83]справочно СВОД'!$C$8641-'[88]справочно СВОД'!$C$8641</f>
        <v>71956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604.12800000000061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-192662.00000000562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181">
        <f>C20-C22</f>
        <v>-1.8189894035458565E-12</v>
      </c>
      <c r="D24" s="68"/>
      <c r="E24" s="149"/>
      <c r="F24" s="156"/>
      <c r="G24" s="128"/>
      <c r="H24" s="129"/>
      <c r="I24" s="129"/>
      <c r="J24" s="125"/>
      <c r="K24" s="174">
        <f>K23+M21</f>
        <v>-120706.00000000562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  <mergeCell ref="K4:K5"/>
    <mergeCell ref="L4:N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6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3.710937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85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73</v>
      </c>
      <c r="D3" s="221"/>
      <c r="E3" s="221"/>
      <c r="F3" s="222"/>
      <c r="G3" s="220" t="s">
        <v>82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74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83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1063491.035135</v>
      </c>
      <c r="C6" s="105">
        <f t="shared" ref="C6:C11" si="0">D6+E6+F6</f>
        <v>10786.812</v>
      </c>
      <c r="D6" s="106">
        <f>SUM(D7:D11)</f>
        <v>77.662000000000006</v>
      </c>
      <c r="E6" s="107">
        <f>SUM(E7:E11)</f>
        <v>10234.374</v>
      </c>
      <c r="F6" s="107">
        <f>SUM(F7:F11)</f>
        <v>474.77600000000001</v>
      </c>
      <c r="G6" s="105">
        <f t="shared" ref="G6:G11" si="1">H6+I6+J6</f>
        <v>565148.8881349999</v>
      </c>
      <c r="H6" s="137">
        <f>SUM(H7:H11)</f>
        <v>163057.370979</v>
      </c>
      <c r="I6" s="107">
        <f>SUM(I7:I11)</f>
        <v>285136.83815599995</v>
      </c>
      <c r="J6" s="106">
        <f>SUM(J7:J11)</f>
        <v>116954.679</v>
      </c>
      <c r="K6" s="105">
        <f t="shared" ref="K6:K11" si="2">L6+M6+N6</f>
        <v>487555.33499999996</v>
      </c>
      <c r="L6" s="123">
        <f>SUM(L7:L11)</f>
        <v>216563.454</v>
      </c>
      <c r="M6" s="109">
        <f>SUM(M7:M11)</f>
        <v>187420.47099999999</v>
      </c>
      <c r="N6" s="108">
        <f>SUM(N7:N11)</f>
        <v>83571.41</v>
      </c>
      <c r="O6" s="146"/>
      <c r="P6" s="133">
        <f>C6+G6+K6</f>
        <v>1063491.035135</v>
      </c>
      <c r="Q6" s="134">
        <f>[89]СВОД!$C$11/1000</f>
        <v>1063491.0351349998</v>
      </c>
      <c r="R6" s="183">
        <f>P6-Q6</f>
        <v>0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/>
      <c r="F7" s="157"/>
      <c r="G7" s="111">
        <f t="shared" si="1"/>
        <v>0</v>
      </c>
      <c r="H7" s="139"/>
      <c r="I7" s="157"/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>
        <f>'[90]Раздел III'!$F$32+'[90]Раздел III'!$F$35</f>
        <v>1063491.035135</v>
      </c>
      <c r="R7" s="185">
        <f>P6-Q7</f>
        <v>0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226700.19780099997</v>
      </c>
      <c r="C8" s="111">
        <f t="shared" si="0"/>
        <v>10785.155999999999</v>
      </c>
      <c r="D8" s="112">
        <f>[91]СВОД!$K$8284/1000+[91]СВОД!$K$8287/1000</f>
        <v>76.006</v>
      </c>
      <c r="E8" s="176">
        <f>[91]СВОД!$E$8281/1000+[91]СВОД!$E$8282/1000+[91]СВОД!$H$8281/1000</f>
        <v>10234.374</v>
      </c>
      <c r="F8" s="113">
        <f>'[89]справочно СВОД'!$C$8709/1000</f>
        <v>474.77600000000001</v>
      </c>
      <c r="G8" s="111">
        <f t="shared" si="1"/>
        <v>214122.99580099998</v>
      </c>
      <c r="H8" s="139">
        <f>([89]СВОД!$E$4564)/1000-L8-D8</f>
        <v>2573.193800999999</v>
      </c>
      <c r="I8" s="113">
        <f>([89]СВОД!$E$4561+[89]СВОД!$E$4562)/1000-M8-E8</f>
        <v>100742.269</v>
      </c>
      <c r="J8" s="162">
        <f>[89]СВОД!$E$1255/1000-N8-F8</f>
        <v>110807.533</v>
      </c>
      <c r="K8" s="111">
        <f t="shared" si="2"/>
        <v>1792.046</v>
      </c>
      <c r="L8" s="124">
        <f>[92]СВОД!$D$20/1000</f>
        <v>123.8</v>
      </c>
      <c r="M8" s="114">
        <f>([92]СВОД!$D$18+[92]СВОД!$D$19+[92]СВОД!$D$37+[92]СВОД!$D$128+[92]СВОД!$D$192)/1000</f>
        <v>1086.8920000000001</v>
      </c>
      <c r="N8" s="121">
        <f>'[89]справочно СВОД'!$E$8641/1000</f>
        <v>581.35400000000004</v>
      </c>
      <c r="O8" s="147"/>
      <c r="P8" s="131"/>
      <c r="Q8" s="184">
        <f>Q7-Q6</f>
        <v>0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28894.854040000002</v>
      </c>
      <c r="C9" s="111">
        <f t="shared" si="0"/>
        <v>0</v>
      </c>
      <c r="D9" s="112"/>
      <c r="E9" s="176">
        <f>([24]СВОД!$F$8281+[24]СВОД!$F$8282)/1000</f>
        <v>0</v>
      </c>
      <c r="F9" s="113"/>
      <c r="G9" s="111">
        <f t="shared" si="1"/>
        <v>28219.026040000001</v>
      </c>
      <c r="H9" s="139">
        <f>([89]СВОД!$F$4564)/1000-L9-D9</f>
        <v>989.702</v>
      </c>
      <c r="I9" s="113">
        <f>([89]СВОД!$F$4561+[89]СВОД!$F$4562)/1000-M9-E9</f>
        <v>26929.391039999999</v>
      </c>
      <c r="J9" s="162">
        <f>[89]СВОД!$F$1255/1000-N9-F9</f>
        <v>299.93299999999999</v>
      </c>
      <c r="K9" s="111">
        <f t="shared" si="2"/>
        <v>675.82799999999997</v>
      </c>
      <c r="L9" s="124">
        <f>([25]СВОД!$E$15+[25]СВОД!$E$23+[25]СВОД!$E$49+[25]СВОД!$E$37)/1000</f>
        <v>0</v>
      </c>
      <c r="M9" s="114">
        <f>([92]СВОД!$E$18+[92]СВОД!$E$19+[92]СВОД!$E$37+[92]СВОД!$E$128+[92]СВОД!$E$192)/1000</f>
        <v>675.82799999999997</v>
      </c>
      <c r="N9" s="121">
        <f>'[26]справочно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292397.46141599992</v>
      </c>
      <c r="C10" s="111">
        <f t="shared" si="0"/>
        <v>0</v>
      </c>
      <c r="D10" s="112">
        <v>0</v>
      </c>
      <c r="E10" s="176">
        <f>[27]СВОД!$G$8282</f>
        <v>0</v>
      </c>
      <c r="F10" s="164"/>
      <c r="G10" s="111">
        <f t="shared" si="1"/>
        <v>135989.11041599995</v>
      </c>
      <c r="H10" s="139">
        <f>([89]СВОД!$G$4564)/1000-L10-D10</f>
        <v>14089.126635999994</v>
      </c>
      <c r="I10" s="113">
        <f>([89]СВОД!$G$4561+[89]СВОД!$G$4562)/1000-M10-E10</f>
        <v>118603.57377999996</v>
      </c>
      <c r="J10" s="162">
        <f>[89]СВОД!$G$1255/1000-N10-F10</f>
        <v>3296.41</v>
      </c>
      <c r="K10" s="111">
        <f t="shared" si="2"/>
        <v>156408.351</v>
      </c>
      <c r="L10" s="124">
        <f>([92]СВОД!$F$20+[92]СВОД!$F$28+[92]СВОД!$F$129)/1000</f>
        <v>26227.311000000002</v>
      </c>
      <c r="M10" s="114">
        <f>([92]СВОД!$F$18+[92]СВОД!$F$19+[92]СВОД!$F$37+[92]СВОД!$F$128+[92]СВОД!$F$192)/1000</f>
        <v>128280.352</v>
      </c>
      <c r="N10" s="121">
        <f>'[89]справочно СВОД'!$G$8641/1000</f>
        <v>1900.6880000000001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515498.521878</v>
      </c>
      <c r="C11" s="116">
        <f t="shared" si="0"/>
        <v>1.6560000000000001</v>
      </c>
      <c r="D11" s="117">
        <f>[91]СВОД!$H$8290/1000+[91]СВОД!$H$8293/1000</f>
        <v>1.6560000000000001</v>
      </c>
      <c r="E11" s="182">
        <f>[28]СВОД!$H$8282/1000</f>
        <v>0</v>
      </c>
      <c r="F11" s="163">
        <v>0</v>
      </c>
      <c r="G11" s="116">
        <f t="shared" si="1"/>
        <v>186817.75587800005</v>
      </c>
      <c r="H11" s="139">
        <f>([89]СВОД!$H$4564)/1000-L11-D11</f>
        <v>145405.34854200002</v>
      </c>
      <c r="I11" s="113">
        <f>([89]СВОД!$H$4561+[89]СВОД!$H$4562)/1000-M11-E11</f>
        <v>38861.604336000011</v>
      </c>
      <c r="J11" s="162">
        <f>[89]СВОД!$H$1255/1000-N11-F11</f>
        <v>2550.8029999999999</v>
      </c>
      <c r="K11" s="116">
        <f t="shared" si="2"/>
        <v>328679.11</v>
      </c>
      <c r="L11" s="178">
        <f>([92]СВОД!$G$20+[92]СВОД!$G$28+[92]СВОД!$G$129)/1000</f>
        <v>190212.34299999999</v>
      </c>
      <c r="M11" s="114">
        <f>([92]СВОД!$G$18+[92]СВОД!$G$19+[92]СВОД!$G$37+[92]СВОД!$G$128+[92]СВОД!$G$192)/1000</f>
        <v>57377.398999999998</v>
      </c>
      <c r="N11" s="122">
        <f>'[89]справочно СВОД'!$H$8641/1000</f>
        <v>81089.368000000002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2126982.0702699996</v>
      </c>
      <c r="C12" s="186">
        <f>SUM(C6:C11)</f>
        <v>21573.624</v>
      </c>
      <c r="D12" s="186">
        <f t="shared" si="3"/>
        <v>155.32400000000001</v>
      </c>
      <c r="E12" s="186">
        <f t="shared" si="3"/>
        <v>20468.748</v>
      </c>
      <c r="F12" s="186">
        <f t="shared" si="3"/>
        <v>949.55200000000002</v>
      </c>
      <c r="G12" s="186">
        <f>SUM(G6:G11)</f>
        <v>1130297.7762699998</v>
      </c>
      <c r="H12" s="186">
        <f>SUM(H6:H11)</f>
        <v>326114.741958</v>
      </c>
      <c r="I12" s="186">
        <f t="shared" si="3"/>
        <v>570273.67631200003</v>
      </c>
      <c r="J12" s="186">
        <f t="shared" si="3"/>
        <v>233909.35800000001</v>
      </c>
      <c r="K12" s="186">
        <f t="shared" si="3"/>
        <v>975110.66999999993</v>
      </c>
      <c r="L12" s="186">
        <f t="shared" si="3"/>
        <v>433126.908</v>
      </c>
      <c r="M12" s="186">
        <f t="shared" si="3"/>
        <v>374840.94199999998</v>
      </c>
      <c r="N12" s="186">
        <f>SUM(N6:N11)</f>
        <v>167142.82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[43]СВОД!$C$24/1000</f>
        <v>448396.102587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30266.575905000092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'[93]Акт наш вариант '!$B$21/1000</f>
        <v>10312.036</v>
      </c>
      <c r="D19" s="68" t="s">
        <v>56</v>
      </c>
      <c r="E19" s="149"/>
      <c r="F19" s="149"/>
      <c r="G19" s="125"/>
      <c r="H19" s="125"/>
      <c r="I19" s="125"/>
      <c r="J19" s="125"/>
      <c r="K19" s="175">
        <f>[92]СВОД!$C$9/1000-K6</f>
        <v>3103.8550000000396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474.77599999999984</v>
      </c>
      <c r="D20" s="68"/>
      <c r="E20" s="149"/>
      <c r="F20" s="149"/>
      <c r="G20" s="125"/>
      <c r="H20" s="127"/>
      <c r="I20" s="127"/>
      <c r="J20" s="128"/>
      <c r="K20" s="175">
        <f>[92]СВОД!$C$37/1000</f>
        <v>135.822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10312.036</v>
      </c>
      <c r="D21" s="172" t="s">
        <v>55</v>
      </c>
      <c r="E21" s="171">
        <f>[91]СВОД!$C$8280</f>
        <v>10312036</v>
      </c>
      <c r="F21" s="149"/>
      <c r="G21" s="125"/>
      <c r="H21" s="129"/>
      <c r="I21" s="129"/>
      <c r="J21" s="126"/>
      <c r="K21" s="174">
        <f>K19-K20</f>
        <v>2968.0330000000395</v>
      </c>
      <c r="L21" s="175"/>
      <c r="M21" s="175">
        <f>'[89]справочно СВОД'!$C$8641-'[94]справочно СВОД'!$C$8641</f>
        <v>-3103855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474.77599999999984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2968033.0000000396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181">
        <f>C20-C22</f>
        <v>0</v>
      </c>
      <c r="D24" s="68"/>
      <c r="E24" s="149"/>
      <c r="F24" s="156"/>
      <c r="G24" s="128"/>
      <c r="H24" s="129"/>
      <c r="I24" s="129"/>
      <c r="J24" s="125"/>
      <c r="K24" s="174">
        <f>K23+M21</f>
        <v>-135821.99999996042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  <mergeCell ref="K4:K5"/>
    <mergeCell ref="L4:N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6"/>
  <sheetViews>
    <sheetView tabSelected="1" view="pageBreakPreview" zoomScaleNormal="100" zoomScaleSheetLayoutView="100" workbookViewId="0">
      <selection activeCell="K32" sqref="K32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5.85546875" customWidth="1"/>
    <col min="14" max="14" width="13.5703125" customWidth="1"/>
    <col min="15" max="15" width="13.7109375" customWidth="1"/>
    <col min="16" max="16" width="13.85546875" style="141" hidden="1" customWidth="1"/>
    <col min="17" max="17" width="19.140625" style="141" hidden="1" customWidth="1"/>
    <col min="18" max="18" width="18.85546875" style="141" hidden="1" customWidth="1"/>
    <col min="19" max="19" width="10.85546875" style="50" hidden="1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73</v>
      </c>
      <c r="D3" s="221"/>
      <c r="E3" s="221"/>
      <c r="F3" s="222"/>
      <c r="G3" s="220" t="s">
        <v>82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74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83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87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1219120.5090639999</v>
      </c>
      <c r="C6" s="105">
        <f t="shared" ref="C6:C11" si="0">D6+E6+F6</f>
        <v>12972.776</v>
      </c>
      <c r="D6" s="106">
        <f>SUM(D7:D11)</f>
        <v>91.284999999999997</v>
      </c>
      <c r="E6" s="107">
        <f>SUM(E7:E11)</f>
        <v>12298.495999999999</v>
      </c>
      <c r="F6" s="107">
        <f>SUM(F7:F11)</f>
        <v>582.995</v>
      </c>
      <c r="G6" s="105">
        <f t="shared" ref="G6:G11" si="1">H6+I6+J6</f>
        <v>626704.46106400003</v>
      </c>
      <c r="H6" s="137">
        <f>SUM(H7:H11)</f>
        <v>150486.76623699997</v>
      </c>
      <c r="I6" s="107">
        <f>SUM(I7:I11)</f>
        <v>298733.13582700002</v>
      </c>
      <c r="J6" s="106">
        <f>SUM(J7:J11)</f>
        <v>177484.55900000001</v>
      </c>
      <c r="K6" s="105">
        <f t="shared" ref="K6:K11" si="2">L6+M6+N6</f>
        <v>579443.272</v>
      </c>
      <c r="L6" s="123">
        <f>SUM(L7:L11)</f>
        <v>198877.223</v>
      </c>
      <c r="M6" s="109">
        <f>SUM(M7:M11)</f>
        <v>206498.625</v>
      </c>
      <c r="N6" s="108">
        <f>SUM(N7:N11)</f>
        <v>174067.424</v>
      </c>
      <c r="O6" s="146"/>
      <c r="P6" s="133">
        <f>C6+G6+K6</f>
        <v>1219120.5090640001</v>
      </c>
      <c r="Q6" s="134">
        <f>[95]СВОД!$C$11/1000</f>
        <v>1219120.5090639999</v>
      </c>
      <c r="R6" s="183">
        <f>P6-Q6</f>
        <v>0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/>
      <c r="F7" s="157"/>
      <c r="G7" s="111">
        <f t="shared" si="1"/>
        <v>0</v>
      </c>
      <c r="H7" s="139"/>
      <c r="I7" s="157"/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/>
      <c r="R7" s="185"/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293620.69610099995</v>
      </c>
      <c r="C8" s="111">
        <f t="shared" si="0"/>
        <v>12970.691000000001</v>
      </c>
      <c r="D8" s="112">
        <f>[96]СВОД!$K$8284/1000+[96]СВОД!$K$8287/1000</f>
        <v>89.2</v>
      </c>
      <c r="E8" s="176">
        <f>[96]СВОД!$E$8281/1000+[96]СВОД!$E$8282/1000+[96]СВОД!$H$8281/1000</f>
        <v>12298.495999999999</v>
      </c>
      <c r="F8" s="113">
        <f>'[95]справочно СВОД'!$C$8709/1000</f>
        <v>582.995</v>
      </c>
      <c r="G8" s="111">
        <f t="shared" si="1"/>
        <v>277554.98810099997</v>
      </c>
      <c r="H8" s="139">
        <f>([95]СВОД!$E$4564)/1000-L8-D8</f>
        <v>2605.1581009999995</v>
      </c>
      <c r="I8" s="113">
        <f>([95]СВОД!$E$4561+[95]СВОД!$E$4562)/1000-M8-E8</f>
        <v>106798.268</v>
      </c>
      <c r="J8" s="162">
        <f>[95]СВОД!$E$1255/1000-N8-F8</f>
        <v>168151.56200000001</v>
      </c>
      <c r="K8" s="111">
        <f t="shared" si="2"/>
        <v>3095.0169999999998</v>
      </c>
      <c r="L8" s="124">
        <f>[97]СВОД!$D$20/1000</f>
        <v>157.80000000000001</v>
      </c>
      <c r="M8" s="114">
        <f>([97]СВОД!$D$18+[97]СВОД!$D$19+[97]СВОД!$D$128+[97]СВОД!$D$192)/1000</f>
        <v>1282.318</v>
      </c>
      <c r="N8" s="121">
        <f>'[95]справочно СВОД'!$E$8641/1000</f>
        <v>1654.8989999999999</v>
      </c>
      <c r="O8" s="147"/>
      <c r="P8" s="131"/>
      <c r="Q8" s="184"/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30627.324999999997</v>
      </c>
      <c r="C9" s="111">
        <f t="shared" si="0"/>
        <v>0</v>
      </c>
      <c r="D9" s="112"/>
      <c r="E9" s="176"/>
      <c r="F9" s="113"/>
      <c r="G9" s="111">
        <f t="shared" si="1"/>
        <v>29883.132999999998</v>
      </c>
      <c r="H9" s="139">
        <f>([95]СВОД!$F$4564)/1000-L9-D9</f>
        <v>1259.8389999999999</v>
      </c>
      <c r="I9" s="113">
        <f>([95]СВОД!$F$4561+[95]СВОД!$F$4562)/1000-M9-E9</f>
        <v>28454.624</v>
      </c>
      <c r="J9" s="162">
        <f>[95]СВОД!$F$1255/1000-N9-F9</f>
        <v>168.67</v>
      </c>
      <c r="K9" s="111">
        <f t="shared" si="2"/>
        <v>744.19200000000001</v>
      </c>
      <c r="L9" s="124">
        <f>([25]СВОД!$E$15+[25]СВОД!$E$23+[25]СВОД!$E$49+[25]СВОД!$E$37)/1000</f>
        <v>0</v>
      </c>
      <c r="M9" s="114">
        <f>([97]СВОД!$E$18+[97]СВОД!$E$19+[97]СВОД!$E$128+[97]СВОД!$E$192)/1000</f>
        <v>744.19200000000001</v>
      </c>
      <c r="N9" s="121">
        <f>'[98]справочно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312710.93027799996</v>
      </c>
      <c r="C10" s="111">
        <f t="shared" si="0"/>
        <v>0</v>
      </c>
      <c r="D10" s="112">
        <v>0</v>
      </c>
      <c r="E10" s="176"/>
      <c r="F10" s="164"/>
      <c r="G10" s="111">
        <f t="shared" si="1"/>
        <v>139530.999278</v>
      </c>
      <c r="H10" s="139">
        <f>([95]СВОД!$G$4564)/1000-L10-D10</f>
        <v>14144.165453999987</v>
      </c>
      <c r="I10" s="113">
        <f>([95]СВОД!$G$4561+[95]СВОД!$G$4562)/1000-M10-E10</f>
        <v>121307.30282400001</v>
      </c>
      <c r="J10" s="162">
        <f>[95]СВОД!$G$1255/1000-N10-F10</f>
        <v>4079.5309999999995</v>
      </c>
      <c r="K10" s="111">
        <f t="shared" si="2"/>
        <v>173179.93099999998</v>
      </c>
      <c r="L10" s="124">
        <f>([97]СВОД!$F$20+[97]СВОД!$F$28+[97]СВОД!$F$129)/1000</f>
        <v>28371.868999999999</v>
      </c>
      <c r="M10" s="114">
        <f>([97]СВОД!$F$18+[97]СВОД!$F$19+[97]СВОД!$F$128+[97]СВОД!$F$192)/1000</f>
        <v>141789.82699999999</v>
      </c>
      <c r="N10" s="121">
        <f>'[95]справочно СВОД'!$G$8641/1000</f>
        <v>3018.2350000000001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582161.55768499989</v>
      </c>
      <c r="C11" s="116">
        <f t="shared" si="0"/>
        <v>2.085</v>
      </c>
      <c r="D11" s="117">
        <f>[96]СВОД!$H$8290/1000+[96]СВОД!$H$8293/1000</f>
        <v>2.085</v>
      </c>
      <c r="E11" s="182"/>
      <c r="F11" s="163">
        <v>0</v>
      </c>
      <c r="G11" s="116">
        <f t="shared" si="1"/>
        <v>179735.34068499997</v>
      </c>
      <c r="H11" s="139">
        <f>([95]СВОД!$H$4564)/1000-L11-D11</f>
        <v>132477.60368199999</v>
      </c>
      <c r="I11" s="113">
        <f>([95]СВОД!$H$4561+[95]СВОД!$H$4562)/1000-M11-E11</f>
        <v>42172.941003</v>
      </c>
      <c r="J11" s="162">
        <f>[95]СВОД!$H$1255/1000-N11-F11</f>
        <v>5084.7960000000021</v>
      </c>
      <c r="K11" s="116">
        <f t="shared" si="2"/>
        <v>402424.13199999998</v>
      </c>
      <c r="L11" s="178">
        <f>([97]СВОД!$G$20+[97]СВОД!$G$28+[97]СВОД!$G$129)/1000</f>
        <v>170347.554</v>
      </c>
      <c r="M11" s="114">
        <f>([97]СВОД!$G$18+[97]СВОД!$G$19+[97]СВОД!$G$128+[97]СВОД!$G$192)/1000</f>
        <v>62682.288</v>
      </c>
      <c r="N11" s="122">
        <f>'[95]справочно СВОД'!$H$8641/1000</f>
        <v>169394.29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2438241.0181279993</v>
      </c>
      <c r="C12" s="186">
        <f>SUM(C6:C11)</f>
        <v>25945.552</v>
      </c>
      <c r="D12" s="186">
        <f t="shared" si="3"/>
        <v>182.57000000000002</v>
      </c>
      <c r="E12" s="186">
        <f t="shared" si="3"/>
        <v>24596.991999999998</v>
      </c>
      <c r="F12" s="186">
        <f t="shared" si="3"/>
        <v>1165.99</v>
      </c>
      <c r="G12" s="186">
        <f>SUM(G6:G11)</f>
        <v>1253408.9221280001</v>
      </c>
      <c r="H12" s="186">
        <f>SUM(H6:H11)</f>
        <v>300973.53247400001</v>
      </c>
      <c r="I12" s="186">
        <f t="shared" si="3"/>
        <v>597466.27165400004</v>
      </c>
      <c r="J12" s="186">
        <f t="shared" si="3"/>
        <v>354969.11800000002</v>
      </c>
      <c r="K12" s="186">
        <f t="shared" si="3"/>
        <v>1158886.544</v>
      </c>
      <c r="L12" s="186">
        <f t="shared" si="3"/>
        <v>397754.446</v>
      </c>
      <c r="M12" s="186">
        <f t="shared" si="3"/>
        <v>412997.25</v>
      </c>
      <c r="N12" s="186">
        <f>SUM(N6:N11)</f>
        <v>348134.848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/>
      <c r="H14" s="70"/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200"/>
      <c r="O18" s="201"/>
      <c r="P18" s="202"/>
      <c r="Q18" s="151"/>
      <c r="R18" s="131"/>
      <c r="S18" s="138"/>
      <c r="T18" s="118"/>
    </row>
    <row r="19" spans="1:20" s="119" customFormat="1" hidden="1" x14ac:dyDescent="0.2">
      <c r="A19" s="68"/>
      <c r="B19" s="68"/>
      <c r="C19" s="170">
        <f>'[99]Акт наш вариант '!$B$21/1000</f>
        <v>12389.781000000001</v>
      </c>
      <c r="D19" s="68" t="s">
        <v>56</v>
      </c>
      <c r="E19" s="149"/>
      <c r="F19" s="149"/>
      <c r="G19" s="175">
        <f>('[99]Акт наш вариант '!$B$26-'[99]Акт наш вариант '!$B$49+'[99]Акт наш вариант '!$B$73+'[99]Акт наш вариант '!$B$96+'[99]по балансу свод'!$C$367+'[99]по балансу свод'!$C$363+'[99]по балансу свод'!$C$410+'[99]по балансу свод'!$C$420)/1000-G6</f>
        <v>-687.33206400007475</v>
      </c>
      <c r="H19" s="125" t="s">
        <v>57</v>
      </c>
      <c r="I19" s="125"/>
      <c r="J19" s="125"/>
      <c r="K19" s="175">
        <f>[97]СВОД!$C$9/1000-K6</f>
        <v>678.47299999999814</v>
      </c>
      <c r="L19" s="125" t="s">
        <v>57</v>
      </c>
      <c r="M19" s="125"/>
      <c r="N19" s="126"/>
      <c r="O19" s="125"/>
      <c r="P19" s="131"/>
      <c r="Q19" s="150"/>
      <c r="R19" s="131"/>
      <c r="S19" s="138"/>
      <c r="T19" s="118"/>
    </row>
    <row r="20" spans="1:20" s="119" customFormat="1" hidden="1" x14ac:dyDescent="0.2">
      <c r="A20" s="68"/>
      <c r="B20" s="68"/>
      <c r="C20" s="196">
        <f>C6-C19</f>
        <v>582.99499999999898</v>
      </c>
      <c r="D20" s="197" t="s">
        <v>57</v>
      </c>
      <c r="E20" s="149"/>
      <c r="F20" s="149"/>
      <c r="G20" s="125"/>
      <c r="H20" s="127"/>
      <c r="I20" s="127"/>
      <c r="J20" s="128"/>
      <c r="K20" s="175">
        <f>[97]СВОД!$C$37/1000</f>
        <v>156.02199999999999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hidden="1" x14ac:dyDescent="0.2">
      <c r="A21" s="68"/>
      <c r="B21" s="68"/>
      <c r="C21" s="74">
        <f>C6-F6</f>
        <v>12389.780999999999</v>
      </c>
      <c r="D21" s="172" t="s">
        <v>55</v>
      </c>
      <c r="E21" s="171">
        <f>[96]СВОД!$C$8280</f>
        <v>12389781</v>
      </c>
      <c r="F21" s="149"/>
      <c r="G21" s="125"/>
      <c r="H21" s="129"/>
      <c r="I21" s="129"/>
      <c r="J21" s="126"/>
      <c r="K21" s="174">
        <f>K19-K20</f>
        <v>522.4509999999982</v>
      </c>
      <c r="L21" s="175" t="s">
        <v>90</v>
      </c>
      <c r="N21" s="130">
        <f>'[95]справочно СВОД'!$C$8641-'[100]справочно СВОД'!$C$8641</f>
        <v>-522451</v>
      </c>
      <c r="O21" s="125"/>
      <c r="P21" s="131"/>
      <c r="Q21" s="131"/>
      <c r="R21" s="131"/>
      <c r="S21" s="68"/>
    </row>
    <row r="22" spans="1:20" s="119" customFormat="1" hidden="1" x14ac:dyDescent="0.2">
      <c r="A22" s="68"/>
      <c r="B22" s="68"/>
      <c r="C22" s="198">
        <f>C6-C21</f>
        <v>582.9950000000008</v>
      </c>
      <c r="D22" s="197" t="s">
        <v>88</v>
      </c>
      <c r="E22" s="149"/>
      <c r="F22" s="149"/>
      <c r="G22" s="125"/>
      <c r="H22" s="129"/>
      <c r="I22" s="129"/>
      <c r="J22" s="125"/>
      <c r="K22" s="126"/>
      <c r="L22" s="125"/>
      <c r="M22" s="125"/>
      <c r="N22" s="126"/>
      <c r="O22" s="125"/>
      <c r="Q22" s="131"/>
      <c r="R22" s="131"/>
      <c r="S22" s="68"/>
    </row>
    <row r="23" spans="1:20" s="119" customFormat="1" hidden="1" x14ac:dyDescent="0.2">
      <c r="A23" s="68"/>
      <c r="B23" s="68"/>
      <c r="C23" s="68"/>
      <c r="D23" s="165" t="s">
        <v>54</v>
      </c>
      <c r="E23" s="165" t="s">
        <v>54</v>
      </c>
      <c r="F23" s="165" t="s">
        <v>52</v>
      </c>
      <c r="G23" s="166"/>
      <c r="H23" s="167"/>
      <c r="I23" s="167"/>
      <c r="J23" s="168"/>
      <c r="N23" s="126"/>
      <c r="O23" s="125"/>
      <c r="P23" s="131"/>
      <c r="Q23" s="150"/>
      <c r="R23" s="150"/>
      <c r="S23" s="68"/>
    </row>
    <row r="24" spans="1:20" s="119" customFormat="1" hidden="1" x14ac:dyDescent="0.2">
      <c r="A24" s="68"/>
      <c r="B24" s="68"/>
      <c r="C24" s="199">
        <f>C20-C22</f>
        <v>-1.8189894035458565E-12</v>
      </c>
      <c r="D24" s="197" t="s">
        <v>89</v>
      </c>
      <c r="E24" s="149"/>
      <c r="F24" s="156"/>
      <c r="G24" s="128"/>
      <c r="H24" s="129"/>
      <c r="I24" s="129"/>
      <c r="J24" s="125"/>
      <c r="K24" s="180">
        <f>K21*1000</f>
        <v>522450.9999999982</v>
      </c>
      <c r="L24" s="169" t="s">
        <v>51</v>
      </c>
      <c r="M24" s="169" t="s">
        <v>51</v>
      </c>
      <c r="N24" s="169" t="s">
        <v>52</v>
      </c>
      <c r="O24" s="125"/>
      <c r="P24" s="131"/>
      <c r="Q24" s="131"/>
      <c r="R24" s="131"/>
      <c r="S24" s="68"/>
    </row>
    <row r="25" spans="1:20" s="119" customFormat="1" hidden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74">
        <f>K24+N21</f>
        <v>-1.8044374883174896E-9</v>
      </c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  <mergeCell ref="K4:K5"/>
    <mergeCell ref="L4:N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">
    <tabColor theme="6" tint="-0.249977111117893"/>
    <pageSetUpPr fitToPage="1"/>
  </sheetPr>
  <dimension ref="A1:Z36"/>
  <sheetViews>
    <sheetView view="pageBreakPreview" zoomScaleNormal="100" zoomScaleSheetLayoutView="100" workbookViewId="0">
      <selection activeCell="D7" sqref="D7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4.7109375" customWidth="1"/>
    <col min="10" max="10" width="13.85546875" customWidth="1"/>
    <col min="11" max="11" width="15.42578125" customWidth="1"/>
    <col min="12" max="12" width="14.42578125" customWidth="1"/>
    <col min="13" max="13" width="15.4257812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66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45</v>
      </c>
      <c r="D3" s="221"/>
      <c r="E3" s="221"/>
      <c r="F3" s="222"/>
      <c r="G3" s="220" t="s">
        <v>59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46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67</v>
      </c>
      <c r="G5" s="226"/>
      <c r="H5" s="97" t="s">
        <v>43</v>
      </c>
      <c r="I5" s="96" t="s">
        <v>44</v>
      </c>
      <c r="J5" s="98" t="s">
        <v>7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0</v>
      </c>
      <c r="C6" s="105">
        <f t="shared" ref="C6:C11" si="0">D6+E6+F6</f>
        <v>0</v>
      </c>
      <c r="D6" s="106">
        <f>SUM(D7:D11)</f>
        <v>0</v>
      </c>
      <c r="E6" s="107">
        <f>SUM(E7:E11)</f>
        <v>0</v>
      </c>
      <c r="F6" s="107">
        <f>SUM(F7:F11)</f>
        <v>0</v>
      </c>
      <c r="G6" s="105">
        <f t="shared" ref="G6:G11" si="1">H6+I6+J6</f>
        <v>0</v>
      </c>
      <c r="H6" s="137">
        <f>SUM(H7:H11)</f>
        <v>0</v>
      </c>
      <c r="I6" s="107">
        <f>SUM(I7:I11)</f>
        <v>0</v>
      </c>
      <c r="J6" s="106">
        <f>SUM(J7:J11)</f>
        <v>0</v>
      </c>
      <c r="K6" s="105">
        <f t="shared" ref="K6:K11" si="2">L6+M6+N6</f>
        <v>0</v>
      </c>
      <c r="L6" s="123">
        <f>SUM(L7:L11)</f>
        <v>0</v>
      </c>
      <c r="M6" s="109">
        <f>SUM(M7:M11)</f>
        <v>0</v>
      </c>
      <c r="N6" s="108">
        <f>SUM(N7:N11)</f>
        <v>0</v>
      </c>
      <c r="O6" s="146"/>
      <c r="P6" s="133">
        <f>C6+G6+K6</f>
        <v>0</v>
      </c>
      <c r="Q6" s="134" t="e">
        <f>SUM(#REF!)</f>
        <v>#REF!</v>
      </c>
      <c r="R6" s="183" t="e">
        <f>P6-Q6</f>
        <v>#REF!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>
        <f>'[17]Акт наш вариант '!$C$17</f>
        <v>0</v>
      </c>
      <c r="F7" s="157"/>
      <c r="G7" s="111">
        <f t="shared" si="1"/>
        <v>0</v>
      </c>
      <c r="H7" s="139">
        <f>([18]СВОД!$D$2147)/1000-L7-D7</f>
        <v>0</v>
      </c>
      <c r="I7" s="157">
        <f>([19]СВОД!$D$171+[19]СВОД!$D$18)/1000-M7-E7</f>
        <v>0</v>
      </c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 t="e">
        <f>SUM(#REF!)</f>
        <v>#REF!</v>
      </c>
      <c r="R7" s="185" t="e">
        <f>P6-Q7</f>
        <v>#REF!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0</v>
      </c>
      <c r="C8" s="111">
        <f t="shared" si="0"/>
        <v>0</v>
      </c>
      <c r="D8" s="112"/>
      <c r="E8" s="176"/>
      <c r="F8" s="113"/>
      <c r="G8" s="111">
        <f t="shared" si="1"/>
        <v>0</v>
      </c>
      <c r="H8" s="139"/>
      <c r="I8" s="113"/>
      <c r="J8" s="162"/>
      <c r="K8" s="111">
        <f t="shared" si="2"/>
        <v>0</v>
      </c>
      <c r="L8" s="124"/>
      <c r="M8" s="114"/>
      <c r="N8" s="121"/>
      <c r="O8" s="147"/>
      <c r="P8" s="131"/>
      <c r="Q8" s="184" t="e">
        <f>Q7-Q6</f>
        <v>#REF!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0</v>
      </c>
      <c r="C9" s="111">
        <f t="shared" si="0"/>
        <v>0</v>
      </c>
      <c r="D9" s="112"/>
      <c r="E9" s="176"/>
      <c r="F9" s="113"/>
      <c r="G9" s="111">
        <f t="shared" si="1"/>
        <v>0</v>
      </c>
      <c r="H9" s="139"/>
      <c r="I9" s="113"/>
      <c r="J9" s="162"/>
      <c r="K9" s="111">
        <f t="shared" si="2"/>
        <v>0</v>
      </c>
      <c r="L9" s="124"/>
      <c r="M9" s="114"/>
      <c r="N9" s="121"/>
      <c r="O9" s="147"/>
      <c r="P9" s="131"/>
      <c r="Q9" s="135"/>
      <c r="R9" s="135" t="e">
        <f>R8+R7</f>
        <v>#REF!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0</v>
      </c>
      <c r="C10" s="111">
        <f t="shared" si="0"/>
        <v>0</v>
      </c>
      <c r="D10" s="112"/>
      <c r="E10" s="176"/>
      <c r="F10" s="164"/>
      <c r="G10" s="111">
        <f t="shared" si="1"/>
        <v>0</v>
      </c>
      <c r="H10" s="139"/>
      <c r="I10" s="113"/>
      <c r="J10" s="162"/>
      <c r="K10" s="111">
        <f t="shared" si="2"/>
        <v>0</v>
      </c>
      <c r="L10" s="124"/>
      <c r="M10" s="114"/>
      <c r="N10" s="121"/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0</v>
      </c>
      <c r="C11" s="116">
        <f t="shared" si="0"/>
        <v>0</v>
      </c>
      <c r="D11" s="117"/>
      <c r="E11" s="182"/>
      <c r="F11" s="163"/>
      <c r="G11" s="116">
        <f t="shared" si="1"/>
        <v>0</v>
      </c>
      <c r="H11" s="139"/>
      <c r="I11" s="113"/>
      <c r="J11" s="162"/>
      <c r="K11" s="116">
        <f t="shared" si="2"/>
        <v>0</v>
      </c>
      <c r="L11" s="178"/>
      <c r="M11" s="179"/>
      <c r="N11" s="122"/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0</v>
      </c>
      <c r="C12" s="186">
        <f>SUM(C6:C11)</f>
        <v>0</v>
      </c>
      <c r="D12" s="186">
        <f t="shared" si="3"/>
        <v>0</v>
      </c>
      <c r="E12" s="186">
        <f t="shared" si="3"/>
        <v>0</v>
      </c>
      <c r="F12" s="186">
        <f t="shared" si="3"/>
        <v>0</v>
      </c>
      <c r="G12" s="186">
        <f>SUM(G6:G11)</f>
        <v>0</v>
      </c>
      <c r="H12" s="186">
        <f>SUM(H6:H11)</f>
        <v>0</v>
      </c>
      <c r="I12" s="186">
        <f t="shared" si="3"/>
        <v>0</v>
      </c>
      <c r="J12" s="186">
        <f t="shared" si="3"/>
        <v>0</v>
      </c>
      <c r="K12" s="186">
        <f t="shared" si="3"/>
        <v>0</v>
      </c>
      <c r="L12" s="186">
        <f t="shared" si="3"/>
        <v>0</v>
      </c>
      <c r="M12" s="186">
        <f t="shared" si="3"/>
        <v>0</v>
      </c>
      <c r="N12" s="186">
        <f>SUM(N6:N11)</f>
        <v>0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[29]СВОД!$C$24/1000</f>
        <v>474414.34551749995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595415.46403999999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'[101]Акт наш вариант '!$B$21/1000</f>
        <v>9037.1129999999994</v>
      </c>
      <c r="D19" s="68" t="s">
        <v>56</v>
      </c>
      <c r="E19" s="149"/>
      <c r="F19" s="149"/>
      <c r="G19" s="125"/>
      <c r="H19" s="125"/>
      <c r="I19" s="125"/>
      <c r="J19" s="125"/>
      <c r="K19" s="175">
        <f>[102]СВОД!$C$7/1000-K6</f>
        <v>425214.58500000002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-9037.1129999999994</v>
      </c>
      <c r="D20" s="68"/>
      <c r="E20" s="149"/>
      <c r="F20" s="149"/>
      <c r="G20" s="125"/>
      <c r="H20" s="127"/>
      <c r="I20" s="127"/>
      <c r="J20" s="128"/>
      <c r="K20" s="175">
        <f>[102]СВОД!$C$31/1000</f>
        <v>137.601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0</v>
      </c>
      <c r="D21" s="172" t="s">
        <v>55</v>
      </c>
      <c r="E21" s="171">
        <f>[103]СВОД!$C$8280</f>
        <v>9037113</v>
      </c>
      <c r="F21" s="149"/>
      <c r="G21" s="125"/>
      <c r="H21" s="129"/>
      <c r="I21" s="129"/>
      <c r="J21" s="126"/>
      <c r="K21" s="174">
        <f>K19-K20</f>
        <v>425076.984</v>
      </c>
      <c r="L21" s="175"/>
      <c r="M21" s="175">
        <f>'[104]справочно СВОД'!$C$6448-'[105]справочно СВОД'!$C$6448</f>
        <v>8733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0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425076984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68"/>
      <c r="D24" s="68"/>
      <c r="E24" s="149"/>
      <c r="F24" s="156"/>
      <c r="G24" s="128"/>
      <c r="H24" s="129"/>
      <c r="I24" s="129"/>
      <c r="J24" s="125"/>
      <c r="K24" s="174">
        <f>K23+M21</f>
        <v>425085717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  <mergeCell ref="K4:K5"/>
    <mergeCell ref="L4:N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0">
    <tabColor theme="6" tint="-0.499984740745262"/>
    <pageSetUpPr fitToPage="1"/>
  </sheetPr>
  <dimension ref="A1:Z36"/>
  <sheetViews>
    <sheetView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4.7109375" customWidth="1"/>
    <col min="10" max="10" width="13.85546875" customWidth="1"/>
    <col min="11" max="11" width="15.42578125" customWidth="1"/>
    <col min="12" max="12" width="14.42578125" customWidth="1"/>
    <col min="13" max="13" width="15.4257812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65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45</v>
      </c>
      <c r="D3" s="221"/>
      <c r="E3" s="221"/>
      <c r="F3" s="222"/>
      <c r="G3" s="220" t="s">
        <v>59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46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62</v>
      </c>
      <c r="G5" s="226"/>
      <c r="H5" s="97" t="s">
        <v>43</v>
      </c>
      <c r="I5" s="96" t="s">
        <v>44</v>
      </c>
      <c r="J5" s="98" t="s">
        <v>7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 t="e">
        <f>SUM(B7:B11)</f>
        <v>#REF!</v>
      </c>
      <c r="C6" s="105" t="e">
        <f t="shared" ref="C6:C11" si="0">D6+E6+F6</f>
        <v>#REF!</v>
      </c>
      <c r="D6" s="106" t="e">
        <f>SUM(D7:D11)</f>
        <v>#REF!</v>
      </c>
      <c r="E6" s="107" t="e">
        <f>SUM(E7:E11)</f>
        <v>#REF!</v>
      </c>
      <c r="F6" s="107" t="e">
        <f>SUM(F7:F11)</f>
        <v>#REF!</v>
      </c>
      <c r="G6" s="105" t="e">
        <f t="shared" ref="G6:G11" si="1">H6+I6+J6</f>
        <v>#REF!</v>
      </c>
      <c r="H6" s="137" t="e">
        <f>SUM(H7:H11)</f>
        <v>#REF!</v>
      </c>
      <c r="I6" s="107" t="e">
        <f>SUM(I7:I11)</f>
        <v>#REF!</v>
      </c>
      <c r="J6" s="106" t="e">
        <f>SUM(J7:J11)</f>
        <v>#REF!</v>
      </c>
      <c r="K6" s="105" t="e">
        <f t="shared" ref="K6:K11" si="2">L6+M6+N6</f>
        <v>#REF!</v>
      </c>
      <c r="L6" s="123" t="e">
        <f>SUM(L7:L11)</f>
        <v>#REF!</v>
      </c>
      <c r="M6" s="109" t="e">
        <f>SUM(M7:M11)</f>
        <v>#REF!</v>
      </c>
      <c r="N6" s="108" t="e">
        <f>SUM(N7:N11)</f>
        <v>#REF!</v>
      </c>
      <c r="O6" s="146"/>
      <c r="P6" s="133" t="e">
        <f>C6+G6+K6</f>
        <v>#REF!</v>
      </c>
      <c r="Q6" s="134" t="e">
        <f>#REF!+#REF!+#REF!+#REF!+#REF!+январь22!Q6</f>
        <v>#REF!</v>
      </c>
      <c r="R6" s="183" t="e">
        <f>P6-Q6</f>
        <v>#REF!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>
        <f>'[17]Акт наш вариант '!$C$17</f>
        <v>0</v>
      </c>
      <c r="F7" s="157"/>
      <c r="G7" s="111">
        <f t="shared" si="1"/>
        <v>0</v>
      </c>
      <c r="H7" s="139">
        <f>([18]СВОД!$D$2147)/1000-L7-D7</f>
        <v>0</v>
      </c>
      <c r="I7" s="157">
        <f>([19]СВОД!$D$171+[19]СВОД!$D$18)/1000-M7-E7</f>
        <v>0</v>
      </c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 t="e">
        <f>#REF!+#REF!+#REF!+#REF!+#REF!+январь22!Q7</f>
        <v>#REF!</v>
      </c>
      <c r="R7" s="185" t="e">
        <f>P6-Q7</f>
        <v>#REF!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 t="e">
        <f>C8+G8+K8</f>
        <v>#REF!</v>
      </c>
      <c r="C8" s="111" t="e">
        <f t="shared" si="0"/>
        <v>#REF!</v>
      </c>
      <c r="D8" s="112" t="e">
        <f>#REF!+#REF!+#REF!+#REF!+#REF!+январь22!D8</f>
        <v>#REF!</v>
      </c>
      <c r="E8" s="176" t="e">
        <f>#REF!+#REF!+#REF!+#REF!+#REF!+январь22!E8</f>
        <v>#REF!</v>
      </c>
      <c r="F8" s="113" t="e">
        <f>#REF!+#REF!+#REF!+#REF!+#REF!+январь22!F8</f>
        <v>#REF!</v>
      </c>
      <c r="G8" s="111" t="e">
        <f t="shared" si="1"/>
        <v>#REF!</v>
      </c>
      <c r="H8" s="139" t="e">
        <f>#REF!+#REF!+#REF!+#REF!+#REF!+январь22!H8</f>
        <v>#REF!</v>
      </c>
      <c r="I8" s="113" t="e">
        <f>#REF!+#REF!+#REF!+#REF!+#REF!+январь22!I8</f>
        <v>#REF!</v>
      </c>
      <c r="J8" s="162" t="e">
        <f>#REF!+#REF!+#REF!+#REF!+#REF!+январь22!J8</f>
        <v>#REF!</v>
      </c>
      <c r="K8" s="111" t="e">
        <f t="shared" si="2"/>
        <v>#REF!</v>
      </c>
      <c r="L8" s="124" t="e">
        <f>#REF!+#REF!+#REF!+#REF!+#REF!+январь22!L8</f>
        <v>#REF!</v>
      </c>
      <c r="M8" s="114" t="e">
        <f>#REF!+#REF!+#REF!+#REF!+#REF!+январь22!M8</f>
        <v>#REF!</v>
      </c>
      <c r="N8" s="121" t="e">
        <f>#REF!+#REF!+#REF!+#REF!+#REF!+январь22!N8</f>
        <v>#REF!</v>
      </c>
      <c r="O8" s="147"/>
      <c r="P8" s="131"/>
      <c r="Q8" s="184" t="e">
        <f>Q7-Q6</f>
        <v>#REF!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 t="e">
        <f>C9+G9+K9</f>
        <v>#REF!</v>
      </c>
      <c r="C9" s="111" t="e">
        <f t="shared" si="0"/>
        <v>#REF!</v>
      </c>
      <c r="D9" s="112" t="e">
        <f>#REF!+#REF!+#REF!+#REF!+#REF!+январь22!D9</f>
        <v>#REF!</v>
      </c>
      <c r="E9" s="176" t="e">
        <f>#REF!+#REF!+#REF!+#REF!+#REF!+январь22!E9</f>
        <v>#REF!</v>
      </c>
      <c r="F9" s="113" t="e">
        <f>#REF!+#REF!+#REF!+#REF!+#REF!+январь22!F9</f>
        <v>#REF!</v>
      </c>
      <c r="G9" s="111" t="e">
        <f t="shared" si="1"/>
        <v>#REF!</v>
      </c>
      <c r="H9" s="139" t="e">
        <f>#REF!+#REF!+#REF!+#REF!+#REF!+январь22!H9</f>
        <v>#REF!</v>
      </c>
      <c r="I9" s="113" t="e">
        <f>#REF!+#REF!+#REF!+#REF!+#REF!+январь22!I9</f>
        <v>#REF!</v>
      </c>
      <c r="J9" s="162" t="e">
        <f>#REF!+#REF!+#REF!+#REF!+#REF!+январь22!J9</f>
        <v>#REF!</v>
      </c>
      <c r="K9" s="111" t="e">
        <f t="shared" si="2"/>
        <v>#REF!</v>
      </c>
      <c r="L9" s="124" t="e">
        <f>#REF!+#REF!+#REF!+#REF!+#REF!+январь22!L9</f>
        <v>#REF!</v>
      </c>
      <c r="M9" s="114" t="e">
        <f>#REF!+#REF!+#REF!+#REF!+#REF!+январь22!M9</f>
        <v>#REF!</v>
      </c>
      <c r="N9" s="121" t="e">
        <f>#REF!+#REF!+#REF!+#REF!+#REF!+январь22!N9</f>
        <v>#REF!</v>
      </c>
      <c r="O9" s="147"/>
      <c r="P9" s="131"/>
      <c r="Q9" s="135"/>
      <c r="R9" s="135" t="e">
        <f>R8+R7</f>
        <v>#REF!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 t="e">
        <f>C10+G10+K10</f>
        <v>#REF!</v>
      </c>
      <c r="C10" s="111" t="e">
        <f t="shared" si="0"/>
        <v>#REF!</v>
      </c>
      <c r="D10" s="112" t="e">
        <f>#REF!+#REF!+#REF!+#REF!+#REF!+январь22!D10</f>
        <v>#REF!</v>
      </c>
      <c r="E10" s="176" t="e">
        <f>#REF!+#REF!+#REF!+#REF!+#REF!+январь22!E10</f>
        <v>#REF!</v>
      </c>
      <c r="F10" s="164" t="e">
        <f>#REF!+#REF!+#REF!+#REF!+#REF!+январь22!F10</f>
        <v>#REF!</v>
      </c>
      <c r="G10" s="111" t="e">
        <f t="shared" si="1"/>
        <v>#REF!</v>
      </c>
      <c r="H10" s="139" t="e">
        <f>#REF!+#REF!+#REF!+#REF!+#REF!+январь22!H10</f>
        <v>#REF!</v>
      </c>
      <c r="I10" s="113" t="e">
        <f>#REF!+#REF!+#REF!+#REF!+#REF!+январь22!I10</f>
        <v>#REF!</v>
      </c>
      <c r="J10" s="162" t="e">
        <f>#REF!+#REF!+#REF!+#REF!+#REF!+январь22!J10</f>
        <v>#REF!</v>
      </c>
      <c r="K10" s="111" t="e">
        <f t="shared" si="2"/>
        <v>#REF!</v>
      </c>
      <c r="L10" s="124" t="e">
        <f>#REF!+#REF!+#REF!+#REF!+#REF!+январь22!L10</f>
        <v>#REF!</v>
      </c>
      <c r="M10" s="114" t="e">
        <f>#REF!+#REF!+#REF!+#REF!+#REF!+январь22!M10</f>
        <v>#REF!</v>
      </c>
      <c r="N10" s="121" t="e">
        <f>#REF!+#REF!+#REF!+#REF!+#REF!+январь22!N10</f>
        <v>#REF!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 t="e">
        <f>C11+G11+K11</f>
        <v>#REF!</v>
      </c>
      <c r="C11" s="116" t="e">
        <f t="shared" si="0"/>
        <v>#REF!</v>
      </c>
      <c r="D11" s="117" t="e">
        <f>#REF!+#REF!+#REF!+#REF!+#REF!+январь22!D11</f>
        <v>#REF!</v>
      </c>
      <c r="E11" s="182" t="e">
        <f>#REF!+#REF!+#REF!+#REF!+#REF!+январь22!E11</f>
        <v>#REF!</v>
      </c>
      <c r="F11" s="163" t="e">
        <f>#REF!+#REF!+#REF!+#REF!+#REF!+январь22!F11</f>
        <v>#REF!</v>
      </c>
      <c r="G11" s="116" t="e">
        <f t="shared" si="1"/>
        <v>#REF!</v>
      </c>
      <c r="H11" s="139" t="e">
        <f>#REF!+#REF!+#REF!+#REF!+#REF!+январь22!H11</f>
        <v>#REF!</v>
      </c>
      <c r="I11" s="113" t="e">
        <f>#REF!+#REF!+#REF!+#REF!+#REF!+январь22!I11</f>
        <v>#REF!</v>
      </c>
      <c r="J11" s="162" t="e">
        <f>#REF!+#REF!+#REF!+#REF!+#REF!+январь22!J11</f>
        <v>#REF!</v>
      </c>
      <c r="K11" s="116" t="e">
        <f t="shared" si="2"/>
        <v>#REF!</v>
      </c>
      <c r="L11" s="178" t="e">
        <f>#REF!+#REF!+#REF!+#REF!+#REF!+январь22!L11</f>
        <v>#REF!</v>
      </c>
      <c r="M11" s="179" t="e">
        <f>#REF!+#REF!+#REF!+#REF!+#REF!+январь22!M11</f>
        <v>#REF!</v>
      </c>
      <c r="N11" s="122" t="e">
        <f>#REF!+#REF!+#REF!+#REF!+#REF!+январь22!N11</f>
        <v>#REF!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 t="e">
        <f t="shared" ref="B12:M12" si="3">SUM(B6:B11)</f>
        <v>#REF!</v>
      </c>
      <c r="C12" s="186" t="e">
        <f>SUM(C6:C11)</f>
        <v>#REF!</v>
      </c>
      <c r="D12" s="186" t="e">
        <f t="shared" si="3"/>
        <v>#REF!</v>
      </c>
      <c r="E12" s="186" t="e">
        <f t="shared" si="3"/>
        <v>#REF!</v>
      </c>
      <c r="F12" s="186" t="e">
        <f t="shared" si="3"/>
        <v>#REF!</v>
      </c>
      <c r="G12" s="186" t="e">
        <f>SUM(G6:G11)</f>
        <v>#REF!</v>
      </c>
      <c r="H12" s="186" t="e">
        <f>SUM(H6:H11)</f>
        <v>#REF!</v>
      </c>
      <c r="I12" s="186" t="e">
        <f t="shared" si="3"/>
        <v>#REF!</v>
      </c>
      <c r="J12" s="186" t="e">
        <f t="shared" si="3"/>
        <v>#REF!</v>
      </c>
      <c r="K12" s="186" t="e">
        <f t="shared" si="3"/>
        <v>#REF!</v>
      </c>
      <c r="L12" s="186" t="e">
        <f t="shared" si="3"/>
        <v>#REF!</v>
      </c>
      <c r="M12" s="186" t="e">
        <f t="shared" si="3"/>
        <v>#REF!</v>
      </c>
      <c r="N12" s="186" t="e">
        <f>SUM(N6:N11)</f>
        <v>#REF!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[29]СВОД!$C$24/1000</f>
        <v>474414.34551749995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 t="e">
        <f>H16-G6</f>
        <v>#REF!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'[101]Акт наш вариант '!$B$21/1000</f>
        <v>9037.1129999999994</v>
      </c>
      <c r="D19" s="68" t="s">
        <v>56</v>
      </c>
      <c r="E19" s="149"/>
      <c r="F19" s="149"/>
      <c r="G19" s="125"/>
      <c r="H19" s="125"/>
      <c r="I19" s="125"/>
      <c r="J19" s="125"/>
      <c r="K19" s="175" t="e">
        <f>[102]СВОД!$C$7/1000-K6</f>
        <v>#REF!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 t="e">
        <f>C6-C19</f>
        <v>#REF!</v>
      </c>
      <c r="D20" s="68"/>
      <c r="E20" s="149"/>
      <c r="F20" s="149"/>
      <c r="G20" s="125"/>
      <c r="H20" s="127"/>
      <c r="I20" s="127"/>
      <c r="J20" s="128"/>
      <c r="K20" s="175">
        <f>[102]СВОД!$C$31/1000</f>
        <v>137.601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 t="e">
        <f>C6-F6</f>
        <v>#REF!</v>
      </c>
      <c r="D21" s="172" t="s">
        <v>55</v>
      </c>
      <c r="E21" s="171">
        <f>[103]СВОД!$C$8280</f>
        <v>9037113</v>
      </c>
      <c r="F21" s="149"/>
      <c r="G21" s="125"/>
      <c r="H21" s="129"/>
      <c r="I21" s="129"/>
      <c r="J21" s="126"/>
      <c r="K21" s="174" t="e">
        <f>K19-K20</f>
        <v>#REF!</v>
      </c>
      <c r="L21" s="175"/>
      <c r="M21" s="175">
        <f>'[104]справочно СВОД'!$C$6448-'[105]справочно СВОД'!$C$6448</f>
        <v>8733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 t="e">
        <f>C6-C21</f>
        <v>#REF!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 t="e">
        <f>K21*1000</f>
        <v>#REF!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68"/>
      <c r="D24" s="68"/>
      <c r="E24" s="149"/>
      <c r="F24" s="156"/>
      <c r="G24" s="128"/>
      <c r="H24" s="129"/>
      <c r="I24" s="129"/>
      <c r="J24" s="125"/>
      <c r="K24" s="174" t="e">
        <f>K23+M21</f>
        <v>#REF!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  <mergeCell ref="K4:K5"/>
    <mergeCell ref="L4:N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U23"/>
  <sheetViews>
    <sheetView workbookViewId="0">
      <selection activeCell="A16" sqref="A16:L16"/>
    </sheetView>
  </sheetViews>
  <sheetFormatPr defaultRowHeight="12.75" x14ac:dyDescent="0.2"/>
  <cols>
    <col min="1" max="1" width="14.5703125" customWidth="1"/>
    <col min="2" max="2" width="8.42578125" bestFit="1" customWidth="1"/>
    <col min="3" max="3" width="8.85546875" customWidth="1"/>
    <col min="4" max="4" width="13.7109375" customWidth="1"/>
    <col min="5" max="5" width="8.7109375" customWidth="1"/>
    <col min="6" max="6" width="14.5703125" customWidth="1"/>
    <col min="7" max="7" width="13.140625" bestFit="1" customWidth="1"/>
    <col min="8" max="8" width="13.85546875" customWidth="1"/>
    <col min="9" max="9" width="15.42578125" customWidth="1"/>
    <col min="10" max="10" width="12.7109375" customWidth="1"/>
    <col min="11" max="11" width="11.140625" bestFit="1" customWidth="1"/>
    <col min="12" max="12" width="14.42578125" customWidth="1"/>
    <col min="13" max="13" width="11.85546875" style="68" customWidth="1"/>
    <col min="14" max="14" width="14" style="68" bestFit="1" customWidth="1"/>
    <col min="15" max="15" width="15.140625" style="68" customWidth="1"/>
    <col min="16" max="16" width="11.85546875" style="68" customWidth="1"/>
    <col min="17" max="17" width="10.85546875" style="68" customWidth="1"/>
    <col min="18" max="18" width="11.85546875" style="68" customWidth="1"/>
    <col min="19" max="19" width="9.85546875" style="68" customWidth="1"/>
    <col min="20" max="21" width="9.140625" style="68"/>
  </cols>
  <sheetData>
    <row r="2" spans="1:17" ht="54.75" customHeight="1" x14ac:dyDescent="0.2">
      <c r="A2" s="207" t="s">
        <v>22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1"/>
      <c r="N2" s="1"/>
      <c r="O2" s="1"/>
      <c r="P2" s="1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x14ac:dyDescent="0.2">
      <c r="L4" s="2" t="s">
        <v>0</v>
      </c>
    </row>
    <row r="5" spans="1:17" ht="30" customHeight="1" x14ac:dyDescent="0.2">
      <c r="A5" s="203" t="s">
        <v>1</v>
      </c>
      <c r="B5" s="204" t="s">
        <v>20</v>
      </c>
      <c r="C5" s="205"/>
      <c r="D5" s="205"/>
      <c r="E5" s="206"/>
      <c r="F5" s="204" t="s">
        <v>2</v>
      </c>
      <c r="G5" s="205"/>
      <c r="H5" s="205"/>
      <c r="I5" s="206"/>
      <c r="J5" s="204" t="s">
        <v>3</v>
      </c>
      <c r="K5" s="205"/>
      <c r="L5" s="206"/>
    </row>
    <row r="6" spans="1:17" ht="26.25" customHeight="1" x14ac:dyDescent="0.2">
      <c r="A6" s="203"/>
      <c r="B6" s="46" t="s">
        <v>4</v>
      </c>
      <c r="C6" s="46" t="s">
        <v>5</v>
      </c>
      <c r="D6" s="46" t="s">
        <v>6</v>
      </c>
      <c r="E6" s="46" t="s">
        <v>21</v>
      </c>
      <c r="F6" s="46" t="s">
        <v>4</v>
      </c>
      <c r="G6" s="46" t="s">
        <v>5</v>
      </c>
      <c r="H6" s="46" t="s">
        <v>6</v>
      </c>
      <c r="I6" s="46" t="s">
        <v>7</v>
      </c>
      <c r="J6" s="46" t="s">
        <v>4</v>
      </c>
      <c r="K6" s="46" t="s">
        <v>5</v>
      </c>
      <c r="L6" s="46" t="s">
        <v>6</v>
      </c>
    </row>
    <row r="7" spans="1:17" x14ac:dyDescent="0.2">
      <c r="A7" s="45" t="s">
        <v>8</v>
      </c>
      <c r="B7" s="5">
        <f>C7+D7</f>
        <v>569.6</v>
      </c>
      <c r="C7" s="6"/>
      <c r="D7" s="6">
        <f>[1]февраль!$D7/1000</f>
        <v>569.6</v>
      </c>
      <c r="E7" s="6"/>
      <c r="F7" s="5">
        <f>G7+H7</f>
        <v>138698.23199999999</v>
      </c>
      <c r="G7" s="6">
        <f>[2]февраль!G52/1000</f>
        <v>742.70100000000002</v>
      </c>
      <c r="H7" s="6">
        <f>([2]февраль!F52+[2]февраль!E52)/1000</f>
        <v>137955.53099999999</v>
      </c>
      <c r="I7" s="6"/>
      <c r="J7" s="5">
        <f>K7+L7</f>
        <v>0</v>
      </c>
      <c r="K7" s="7">
        <f>[3]февраль!G62/1000</f>
        <v>0</v>
      </c>
      <c r="L7" s="7">
        <f>[3]февраль!F62/1000</f>
        <v>0</v>
      </c>
      <c r="O7" s="69"/>
      <c r="P7" s="69"/>
    </row>
    <row r="8" spans="1:17" x14ac:dyDescent="0.2">
      <c r="A8" s="45" t="s">
        <v>9</v>
      </c>
      <c r="B8" s="5">
        <f>C8+D8</f>
        <v>0</v>
      </c>
      <c r="C8" s="6"/>
      <c r="D8" s="6">
        <f>[1]февраль!$D8/1000</f>
        <v>0</v>
      </c>
      <c r="E8" s="6"/>
      <c r="F8" s="5">
        <f>G8+H8</f>
        <v>28334.035</v>
      </c>
      <c r="G8" s="6">
        <f>[2]февраль!G53/1000</f>
        <v>436.35300000000001</v>
      </c>
      <c r="H8" s="6">
        <f>([2]февраль!F53+[2]февраль!E53)/1000</f>
        <v>27897.682000000001</v>
      </c>
      <c r="I8" s="6"/>
      <c r="J8" s="5">
        <f>K8+L8</f>
        <v>0</v>
      </c>
      <c r="K8" s="7">
        <f>[3]февраль!G63/1000</f>
        <v>0</v>
      </c>
      <c r="L8" s="7">
        <f>[3]февраль!F63/1000</f>
        <v>0</v>
      </c>
      <c r="O8" s="69"/>
      <c r="P8" s="69"/>
    </row>
    <row r="9" spans="1:17" x14ac:dyDescent="0.2">
      <c r="A9" s="45" t="s">
        <v>10</v>
      </c>
      <c r="B9" s="5">
        <f>C9+D9</f>
        <v>0</v>
      </c>
      <c r="C9" s="6"/>
      <c r="D9" s="6">
        <f>[1]февраль!$D9/1000</f>
        <v>0</v>
      </c>
      <c r="E9" s="6"/>
      <c r="F9" s="5">
        <f>G9+H9</f>
        <v>107962.88800000001</v>
      </c>
      <c r="G9" s="6">
        <f>[2]февраль!G54/1000</f>
        <v>12579.089</v>
      </c>
      <c r="H9" s="6">
        <f>([2]февраль!F54+[2]февраль!E54)/1000</f>
        <v>95383.798999999999</v>
      </c>
      <c r="I9" s="6"/>
      <c r="J9" s="5">
        <f>K9+L9</f>
        <v>806.62700000000007</v>
      </c>
      <c r="K9" s="7">
        <f>[3]февраль!G64/1000</f>
        <v>29.201000000000001</v>
      </c>
      <c r="L9" s="7">
        <f>[3]февраль!F64/1000</f>
        <v>777.42600000000004</v>
      </c>
      <c r="M9" s="70"/>
      <c r="N9" s="71"/>
      <c r="O9" s="69"/>
      <c r="P9" s="69"/>
      <c r="Q9" s="70"/>
    </row>
    <row r="10" spans="1:17" x14ac:dyDescent="0.2">
      <c r="A10" s="45" t="s">
        <v>11</v>
      </c>
      <c r="B10" s="5">
        <f>C10+D10</f>
        <v>0</v>
      </c>
      <c r="C10" s="6"/>
      <c r="D10" s="6">
        <f>[1]февраль!$D10/1000</f>
        <v>0</v>
      </c>
      <c r="E10" s="6"/>
      <c r="F10" s="5">
        <f>G10+H10</f>
        <v>138699.83499999999</v>
      </c>
      <c r="G10" s="6">
        <f>[2]февраль!G55/1000</f>
        <v>97855.763999999996</v>
      </c>
      <c r="H10" s="6">
        <f>([2]февраль!F55+[2]февраль!E55)/1000</f>
        <v>40844.071000000004</v>
      </c>
      <c r="I10" s="6"/>
      <c r="J10" s="5">
        <f>K10+L10</f>
        <v>1687.6480000000001</v>
      </c>
      <c r="K10" s="7">
        <f>[3]февраль!G65/1000</f>
        <v>1368.9760000000001</v>
      </c>
      <c r="L10" s="7">
        <f>[3]февраль!F65/1000</f>
        <v>318.67200000000003</v>
      </c>
      <c r="M10" s="70"/>
      <c r="N10" s="71"/>
      <c r="O10" s="69"/>
      <c r="Q10" s="70"/>
    </row>
    <row r="11" spans="1:17" x14ac:dyDescent="0.2">
      <c r="A11" s="45" t="s">
        <v>4</v>
      </c>
      <c r="B11" s="5">
        <f>C11+D11+E11</f>
        <v>569.93000000000006</v>
      </c>
      <c r="C11" s="9">
        <f>SUM(C7:C10)</f>
        <v>0</v>
      </c>
      <c r="D11" s="9">
        <f>SUM(D7:D10)</f>
        <v>569.6</v>
      </c>
      <c r="E11" s="9">
        <f>'[8]Акт наш вариант '!$E$18/1000</f>
        <v>0.33</v>
      </c>
      <c r="F11" s="5">
        <f>G11+H11+I11</f>
        <v>552285.33899999992</v>
      </c>
      <c r="G11" s="9">
        <f>SUM(G7:G10)</f>
        <v>111613.90699999999</v>
      </c>
      <c r="H11" s="9">
        <f>SUM(H7:H10)</f>
        <v>302081.08299999998</v>
      </c>
      <c r="I11" s="9">
        <f>('[9]справочно СВОД'!$C$770+'[9]справочно СВОД'!$C$805)/1000</f>
        <v>138590.34899999999</v>
      </c>
      <c r="J11" s="5">
        <f>K11+L11</f>
        <v>2494.2750000000001</v>
      </c>
      <c r="K11" s="9">
        <f>SUM(K9:K10)</f>
        <v>1398.1770000000001</v>
      </c>
      <c r="L11" s="9">
        <f>SUM(L7:L10)</f>
        <v>1096.098</v>
      </c>
      <c r="M11" s="70">
        <f>B11+F11+J11</f>
        <v>555349.54399999999</v>
      </c>
      <c r="N11" s="69">
        <f>F11+J11-I11</f>
        <v>416189.26499999996</v>
      </c>
      <c r="O11" s="72">
        <f>'[6]январь всего'!$C$11/1000</f>
        <v>442570.31400368304</v>
      </c>
      <c r="P11" s="73"/>
    </row>
    <row r="12" spans="1:17" x14ac:dyDescent="0.2">
      <c r="M12" s="70"/>
      <c r="N12" s="73"/>
      <c r="O12" s="74">
        <f>N11-O11</f>
        <v>-26381.049003683089</v>
      </c>
      <c r="P12" s="68" t="s">
        <v>15</v>
      </c>
    </row>
    <row r="13" spans="1:17" x14ac:dyDescent="0.2">
      <c r="F13" s="12"/>
      <c r="G13" s="10"/>
      <c r="M13" s="70"/>
      <c r="N13" s="72"/>
      <c r="O13" s="75">
        <f>(('[7]Акт наш'!$J$9+'[7]Акт наш'!$J$10)/1000)</f>
        <v>-91.4810036830157</v>
      </c>
      <c r="P13" s="68" t="s">
        <v>14</v>
      </c>
    </row>
    <row r="14" spans="1:17" x14ac:dyDescent="0.2">
      <c r="N14" s="74"/>
      <c r="O14" s="75">
        <v>17.09</v>
      </c>
      <c r="P14" s="68" t="s">
        <v>13</v>
      </c>
    </row>
    <row r="15" spans="1:17" x14ac:dyDescent="0.2">
      <c r="A15" s="43" t="s">
        <v>23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76"/>
      <c r="N15" s="75"/>
      <c r="O15" s="69">
        <f>-2849.804+41.812</f>
        <v>-2807.9920000000002</v>
      </c>
      <c r="P15" s="68" t="s">
        <v>12</v>
      </c>
    </row>
    <row r="16" spans="1:17" ht="28.5" customHeight="1" x14ac:dyDescent="0.2">
      <c r="A16" s="208" t="s">
        <v>24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77"/>
      <c r="O16" s="74">
        <v>25.411999999999999</v>
      </c>
      <c r="P16" s="68" t="s">
        <v>16</v>
      </c>
    </row>
    <row r="17" spans="14:16" x14ac:dyDescent="0.2">
      <c r="N17" s="74"/>
    </row>
    <row r="19" spans="14:16" x14ac:dyDescent="0.2">
      <c r="O19" s="74"/>
    </row>
    <row r="23" spans="14:16" x14ac:dyDescent="0.2">
      <c r="N23" s="74"/>
      <c r="O23" s="74"/>
      <c r="P23" s="74"/>
    </row>
  </sheetData>
  <mergeCells count="6">
    <mergeCell ref="A16:L16"/>
    <mergeCell ref="A2:L2"/>
    <mergeCell ref="A5:A6"/>
    <mergeCell ref="B5:E5"/>
    <mergeCell ref="F5:I5"/>
    <mergeCell ref="J5:L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tabColor theme="6" tint="-0.499984740745262"/>
    <pageSetUpPr fitToPage="1"/>
  </sheetPr>
  <dimension ref="A1:Z40"/>
  <sheetViews>
    <sheetView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4.7109375" customWidth="1"/>
    <col min="10" max="10" width="15" customWidth="1"/>
    <col min="11" max="11" width="15.42578125" customWidth="1"/>
    <col min="12" max="12" width="14.42578125" customWidth="1"/>
    <col min="13" max="13" width="15.42578125" customWidth="1"/>
    <col min="14" max="14" width="14.7109375" customWidth="1"/>
    <col min="15" max="15" width="13.7109375" customWidth="1"/>
    <col min="16" max="16" width="14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65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45</v>
      </c>
      <c r="D3" s="221"/>
      <c r="E3" s="221"/>
      <c r="F3" s="222"/>
      <c r="G3" s="220" t="s">
        <v>59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46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62</v>
      </c>
      <c r="G5" s="226"/>
      <c r="H5" s="97" t="s">
        <v>43</v>
      </c>
      <c r="I5" s="96" t="s">
        <v>44</v>
      </c>
      <c r="J5" s="98" t="s">
        <v>7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 t="e">
        <f>SUM(B7:B11)</f>
        <v>#REF!</v>
      </c>
      <c r="C6" s="105" t="e">
        <f t="shared" ref="C6:C11" si="0">D6+E6+F6</f>
        <v>#REF!</v>
      </c>
      <c r="D6" s="106" t="e">
        <f>SUM(D7:D11)</f>
        <v>#REF!</v>
      </c>
      <c r="E6" s="107" t="e">
        <f>SUM(E7:E11)</f>
        <v>#REF!</v>
      </c>
      <c r="F6" s="107" t="e">
        <f>SUM(F7:F11)</f>
        <v>#REF!</v>
      </c>
      <c r="G6" s="105" t="e">
        <f t="shared" ref="G6:G11" si="1">H6+I6+J6</f>
        <v>#REF!</v>
      </c>
      <c r="H6" s="137" t="e">
        <f>SUM(H7:H11)</f>
        <v>#REF!</v>
      </c>
      <c r="I6" s="107" t="e">
        <f>SUM(I7:I11)</f>
        <v>#REF!</v>
      </c>
      <c r="J6" s="106" t="e">
        <f>SUM(J7:J11)</f>
        <v>#REF!</v>
      </c>
      <c r="K6" s="105" t="e">
        <f t="shared" ref="K6:K11" si="2">L6+M6+N6</f>
        <v>#REF!</v>
      </c>
      <c r="L6" s="123" t="e">
        <f>SUM(L7:L11)</f>
        <v>#REF!</v>
      </c>
      <c r="M6" s="109" t="e">
        <f>SUM(M7:M11)</f>
        <v>#REF!</v>
      </c>
      <c r="N6" s="108" t="e">
        <f>SUM(N7:N11)</f>
        <v>#REF!</v>
      </c>
      <c r="O6" s="146"/>
      <c r="P6" s="133" t="e">
        <f>C6+G6+K6</f>
        <v>#REF!</v>
      </c>
      <c r="Q6" s="134" t="e">
        <f>'1пг'!Q6+'2пг'!Q6</f>
        <v>#REF!</v>
      </c>
      <c r="R6" s="183" t="e">
        <f>P6-Q6</f>
        <v>#REF!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>
        <f>'[17]Акт наш вариант '!$C$17</f>
        <v>0</v>
      </c>
      <c r="F7" s="157"/>
      <c r="G7" s="111">
        <f t="shared" si="1"/>
        <v>0</v>
      </c>
      <c r="H7" s="139">
        <f>([18]СВОД!$D$2147)/1000-L7-D7</f>
        <v>0</v>
      </c>
      <c r="I7" s="157">
        <f>([19]СВОД!$D$171+[19]СВОД!$D$18)/1000-M7-E7</f>
        <v>0</v>
      </c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 t="e">
        <f>'1пг'!Q7+'2пг'!Q7</f>
        <v>#REF!</v>
      </c>
      <c r="R7" s="185" t="e">
        <f>P6-Q7</f>
        <v>#REF!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 t="e">
        <f>C8+G8+K8</f>
        <v>#REF!</v>
      </c>
      <c r="C8" s="111" t="e">
        <f t="shared" si="0"/>
        <v>#REF!</v>
      </c>
      <c r="D8" s="112" t="e">
        <f>'1пг'!D8+'2пг'!D8</f>
        <v>#REF!</v>
      </c>
      <c r="E8" s="176" t="e">
        <f>'1пг'!E8+'2пг'!E8</f>
        <v>#REF!</v>
      </c>
      <c r="F8" s="113" t="e">
        <f>'1пг'!F8+'2пг'!F8</f>
        <v>#REF!</v>
      </c>
      <c r="G8" s="111" t="e">
        <f t="shared" si="1"/>
        <v>#REF!</v>
      </c>
      <c r="H8" s="139" t="e">
        <f>'1пг'!H8+'2пг'!H8</f>
        <v>#REF!</v>
      </c>
      <c r="I8" s="113" t="e">
        <f>'1пг'!I8+'2пг'!I8</f>
        <v>#REF!</v>
      </c>
      <c r="J8" s="162" t="e">
        <f>'1пг'!J8+'2пг'!J8</f>
        <v>#REF!</v>
      </c>
      <c r="K8" s="111" t="e">
        <f t="shared" si="2"/>
        <v>#REF!</v>
      </c>
      <c r="L8" s="124" t="e">
        <f>'1пг'!L8+'2пг'!L8</f>
        <v>#REF!</v>
      </c>
      <c r="M8" s="114" t="e">
        <f>'1пг'!M8+'2пг'!M8</f>
        <v>#REF!</v>
      </c>
      <c r="N8" s="121" t="e">
        <f>'1пг'!N8+'2пг'!N8</f>
        <v>#REF!</v>
      </c>
      <c r="O8" s="147"/>
      <c r="P8" s="131"/>
      <c r="Q8" s="184" t="e">
        <f>Q7-Q6</f>
        <v>#REF!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 t="e">
        <f>C9+G9+K9</f>
        <v>#REF!</v>
      </c>
      <c r="C9" s="111" t="e">
        <f t="shared" si="0"/>
        <v>#REF!</v>
      </c>
      <c r="D9" s="112" t="e">
        <f>'1пг'!D9+'2пг'!D9</f>
        <v>#REF!</v>
      </c>
      <c r="E9" s="176" t="e">
        <f>'1пг'!E9+'2пг'!E9</f>
        <v>#REF!</v>
      </c>
      <c r="F9" s="113" t="e">
        <f>'1пг'!F9+'2пг'!F9</f>
        <v>#REF!</v>
      </c>
      <c r="G9" s="111" t="e">
        <f t="shared" si="1"/>
        <v>#REF!</v>
      </c>
      <c r="H9" s="139" t="e">
        <f>'1пг'!H9+'2пг'!H9</f>
        <v>#REF!</v>
      </c>
      <c r="I9" s="113" t="e">
        <f>'1пг'!I9+'2пг'!I9</f>
        <v>#REF!</v>
      </c>
      <c r="J9" s="162" t="e">
        <f>'1пг'!J9+'2пг'!J9</f>
        <v>#REF!</v>
      </c>
      <c r="K9" s="111" t="e">
        <f t="shared" si="2"/>
        <v>#REF!</v>
      </c>
      <c r="L9" s="124" t="e">
        <f>'1пг'!L9+'2пг'!L9</f>
        <v>#REF!</v>
      </c>
      <c r="M9" s="114" t="e">
        <f>'1пг'!M9+'2пг'!M9</f>
        <v>#REF!</v>
      </c>
      <c r="N9" s="121" t="e">
        <f>'1пг'!N9+'2пг'!N9</f>
        <v>#REF!</v>
      </c>
      <c r="O9" s="147"/>
      <c r="P9" s="131"/>
      <c r="Q9" s="135"/>
      <c r="R9" s="135" t="e">
        <f>R8+R7</f>
        <v>#REF!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 t="e">
        <f>C10+G10+K10</f>
        <v>#REF!</v>
      </c>
      <c r="C10" s="111" t="e">
        <f t="shared" si="0"/>
        <v>#REF!</v>
      </c>
      <c r="D10" s="112" t="e">
        <f>'1пг'!D10+'2пг'!D10</f>
        <v>#REF!</v>
      </c>
      <c r="E10" s="176" t="e">
        <f>'1пг'!E10+'2пг'!E10</f>
        <v>#REF!</v>
      </c>
      <c r="F10" s="164" t="e">
        <f>'1пг'!F10+'2пг'!F10</f>
        <v>#REF!</v>
      </c>
      <c r="G10" s="111" t="e">
        <f t="shared" si="1"/>
        <v>#REF!</v>
      </c>
      <c r="H10" s="139" t="e">
        <f>'1пг'!H10+'2пг'!H10</f>
        <v>#REF!</v>
      </c>
      <c r="I10" s="113" t="e">
        <f>'1пг'!I10+'2пг'!I10</f>
        <v>#REF!</v>
      </c>
      <c r="J10" s="162" t="e">
        <f>'1пг'!J10+'2пг'!J10</f>
        <v>#REF!</v>
      </c>
      <c r="K10" s="111" t="e">
        <f t="shared" si="2"/>
        <v>#REF!</v>
      </c>
      <c r="L10" s="124" t="e">
        <f>'1пг'!L10+'2пг'!L10</f>
        <v>#REF!</v>
      </c>
      <c r="M10" s="114" t="e">
        <f>'1пг'!M10+'2пг'!M10</f>
        <v>#REF!</v>
      </c>
      <c r="N10" s="121" t="e">
        <f>'1пг'!N10+'2пг'!N10</f>
        <v>#REF!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 t="e">
        <f>C11+G11+K11</f>
        <v>#REF!</v>
      </c>
      <c r="C11" s="116" t="e">
        <f t="shared" si="0"/>
        <v>#REF!</v>
      </c>
      <c r="D11" s="117" t="e">
        <f>'1пг'!D11+'2пг'!D11</f>
        <v>#REF!</v>
      </c>
      <c r="E11" s="182" t="e">
        <f>'1пг'!E11+'2пг'!E11</f>
        <v>#REF!</v>
      </c>
      <c r="F11" s="163" t="e">
        <f>'1пг'!F11+'2пг'!F11</f>
        <v>#REF!</v>
      </c>
      <c r="G11" s="116" t="e">
        <f t="shared" si="1"/>
        <v>#REF!</v>
      </c>
      <c r="H11" s="139" t="e">
        <f>'1пг'!H11+'2пг'!H11</f>
        <v>#REF!</v>
      </c>
      <c r="I11" s="113" t="e">
        <f>'1пг'!I11+'2пг'!I11</f>
        <v>#REF!</v>
      </c>
      <c r="J11" s="162" t="e">
        <f>'1пг'!J11+'2пг'!J11</f>
        <v>#REF!</v>
      </c>
      <c r="K11" s="116" t="e">
        <f t="shared" si="2"/>
        <v>#REF!</v>
      </c>
      <c r="L11" s="178" t="e">
        <f>'1пг'!L11+'2пг'!L11</f>
        <v>#REF!</v>
      </c>
      <c r="M11" s="179" t="e">
        <f>'1пг'!M11+'2пг'!M11</f>
        <v>#REF!</v>
      </c>
      <c r="N11" s="122" t="e">
        <f>'1пг'!N11+'2пг'!N11</f>
        <v>#REF!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 t="e">
        <f t="shared" ref="B12:M12" si="3">SUM(B6:B11)</f>
        <v>#REF!</v>
      </c>
      <c r="C12" s="186" t="e">
        <f>SUM(C6:C11)</f>
        <v>#REF!</v>
      </c>
      <c r="D12" s="186" t="e">
        <f t="shared" si="3"/>
        <v>#REF!</v>
      </c>
      <c r="E12" s="186" t="e">
        <f t="shared" si="3"/>
        <v>#REF!</v>
      </c>
      <c r="F12" s="186" t="e">
        <f t="shared" si="3"/>
        <v>#REF!</v>
      </c>
      <c r="G12" s="186" t="e">
        <f>SUM(G6:G11)</f>
        <v>#REF!</v>
      </c>
      <c r="H12" s="186" t="e">
        <f>SUM(H6:H11)</f>
        <v>#REF!</v>
      </c>
      <c r="I12" s="186" t="e">
        <f t="shared" si="3"/>
        <v>#REF!</v>
      </c>
      <c r="J12" s="186" t="e">
        <f t="shared" si="3"/>
        <v>#REF!</v>
      </c>
      <c r="K12" s="186" t="e">
        <f t="shared" si="3"/>
        <v>#REF!</v>
      </c>
      <c r="L12" s="186" t="e">
        <f t="shared" si="3"/>
        <v>#REF!</v>
      </c>
      <c r="M12" s="186" t="e">
        <f t="shared" si="3"/>
        <v>#REF!</v>
      </c>
      <c r="N12" s="186" t="e">
        <f>SUM(N6:N11)</f>
        <v>#REF!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[29]СВОД!$C$24/1000</f>
        <v>474414.34551749995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 t="e">
        <f>H16-G6</f>
        <v>#REF!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'[101]Акт наш вариант '!$B$21/1000</f>
        <v>9037.1129999999994</v>
      </c>
      <c r="D19" s="68" t="s">
        <v>56</v>
      </c>
      <c r="E19" s="149"/>
      <c r="F19" s="149"/>
      <c r="G19" s="125"/>
      <c r="H19" s="125"/>
      <c r="I19" s="125"/>
      <c r="J19" s="125"/>
      <c r="K19" s="175" t="e">
        <f>[102]СВОД!$C$7/1000-K6</f>
        <v>#REF!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 t="e">
        <f>C6-C19</f>
        <v>#REF!</v>
      </c>
      <c r="D20" s="68"/>
      <c r="E20" s="149"/>
      <c r="F20" s="149"/>
      <c r="G20" s="125"/>
      <c r="H20" s="127"/>
      <c r="I20" s="127"/>
      <c r="J20" s="128"/>
      <c r="K20" s="175">
        <f>[102]СВОД!$C$31/1000</f>
        <v>137.601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 t="e">
        <f>C6-F6</f>
        <v>#REF!</v>
      </c>
      <c r="D21" s="172" t="s">
        <v>55</v>
      </c>
      <c r="E21" s="171">
        <f>[103]СВОД!$C$8280</f>
        <v>9037113</v>
      </c>
      <c r="F21" s="149"/>
      <c r="G21" s="125"/>
      <c r="H21" s="129"/>
      <c r="I21" s="129"/>
      <c r="J21" s="126"/>
      <c r="K21" s="174" t="e">
        <f>K19-K20</f>
        <v>#REF!</v>
      </c>
      <c r="L21" s="175"/>
      <c r="M21" s="175">
        <f>'[104]справочно СВОД'!$C$6448-'[105]справочно СВОД'!$C$6448</f>
        <v>8733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 t="e">
        <f>C6-C21</f>
        <v>#REF!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 t="e">
        <f>K21*1000</f>
        <v>#REF!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68"/>
      <c r="D24" s="68"/>
      <c r="E24" s="149"/>
      <c r="F24" s="156"/>
      <c r="G24" s="128"/>
      <c r="H24" s="129"/>
      <c r="I24" s="129"/>
      <c r="J24" s="125"/>
      <c r="K24" s="174" t="e">
        <f>K23+M21</f>
        <v>#REF!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 t="s">
        <v>68</v>
      </c>
      <c r="I26" s="126"/>
      <c r="K26" s="194" t="s">
        <v>52</v>
      </c>
      <c r="M26" s="125"/>
      <c r="N26" s="125" t="s">
        <v>69</v>
      </c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6" t="e">
        <f>D6+H6+L6</f>
        <v>#REF!</v>
      </c>
      <c r="H27" s="126" t="e">
        <f>E6+I6+M6</f>
        <v>#REF!</v>
      </c>
      <c r="I27" s="190" t="e">
        <f>F6+J6+N6</f>
        <v>#REF!</v>
      </c>
      <c r="J27" s="195">
        <f>SUM(J28:J39)</f>
        <v>4447432.3893070007</v>
      </c>
      <c r="K27" s="195">
        <f>SUM(K28:K39)</f>
        <v>5716087.8154376</v>
      </c>
      <c r="L27" s="195">
        <f>SUM(L28:L39)</f>
        <v>2255124.6849949998</v>
      </c>
      <c r="M27" s="192" t="e">
        <f>G27-J27</f>
        <v>#REF!</v>
      </c>
      <c r="N27" s="192" t="e">
        <f t="shared" ref="N27:O39" si="4">H27-K27</f>
        <v>#REF!</v>
      </c>
      <c r="O27" s="192" t="e">
        <f t="shared" si="4"/>
        <v>#REF!</v>
      </c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6" t="e">
        <f>#REF!+#REF!+#REF!</f>
        <v>#REF!</v>
      </c>
      <c r="H28" s="126" t="e">
        <f>#REF!+#REF!+#REF!</f>
        <v>#REF!</v>
      </c>
      <c r="I28" s="126" t="e">
        <f>#REF!+#REF!+#REF!</f>
        <v>#REF!</v>
      </c>
      <c r="J28" s="193">
        <f>[106]год!$L20*1000</f>
        <v>416985.53755399992</v>
      </c>
      <c r="K28" s="195">
        <f>[106]год!$L33*1000</f>
        <v>509509.57592899987</v>
      </c>
      <c r="L28" s="193">
        <f>[106]год!$L46*1000</f>
        <v>229009.67</v>
      </c>
      <c r="M28" s="192" t="e">
        <f t="shared" ref="M28:M39" si="5">G28-J28</f>
        <v>#REF!</v>
      </c>
      <c r="N28" s="192" t="e">
        <f t="shared" si="4"/>
        <v>#REF!</v>
      </c>
      <c r="O28" s="192" t="e">
        <f t="shared" si="4"/>
        <v>#REF!</v>
      </c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6" t="e">
        <f>#REF!+#REF!+#REF!</f>
        <v>#REF!</v>
      </c>
      <c r="H29" s="126" t="e">
        <f>#REF!+#REF!+#REF!</f>
        <v>#REF!</v>
      </c>
      <c r="I29" s="126" t="e">
        <f>#REF!+#REF!+#REF!</f>
        <v>#REF!</v>
      </c>
      <c r="J29" s="193">
        <f>[106]год!$L21*1000</f>
        <v>382181.84651200008</v>
      </c>
      <c r="K29" s="195">
        <f>[106]год!$L34*1000</f>
        <v>503654.68048099987</v>
      </c>
      <c r="L29" s="193">
        <f>[106]год!$L47*1000</f>
        <v>200453.834</v>
      </c>
      <c r="M29" s="192" t="e">
        <f t="shared" si="5"/>
        <v>#REF!</v>
      </c>
      <c r="N29" s="192" t="e">
        <f t="shared" si="4"/>
        <v>#REF!</v>
      </c>
      <c r="O29" s="192" t="e">
        <f t="shared" si="4"/>
        <v>#REF!</v>
      </c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6" t="e">
        <f>#REF!+#REF!+#REF!</f>
        <v>#REF!</v>
      </c>
      <c r="H30" s="126" t="e">
        <f>#REF!+#REF!+#REF!</f>
        <v>#REF!</v>
      </c>
      <c r="I30" s="126" t="e">
        <f>#REF!+#REF!+#REF!</f>
        <v>#REF!</v>
      </c>
      <c r="J30" s="193">
        <f>[106]год!$L22*1000</f>
        <v>367366.113595</v>
      </c>
      <c r="K30" s="195">
        <f>[106]год!$L35*1000</f>
        <v>517608.8326920002</v>
      </c>
      <c r="L30" s="193">
        <f>[106]год!$L48*1000</f>
        <v>247246.32399999999</v>
      </c>
      <c r="M30" s="192" t="e">
        <f t="shared" si="5"/>
        <v>#REF!</v>
      </c>
      <c r="N30" s="192" t="e">
        <f t="shared" si="4"/>
        <v>#REF!</v>
      </c>
      <c r="O30" s="192" t="e">
        <f t="shared" si="4"/>
        <v>#REF!</v>
      </c>
      <c r="P30" s="131"/>
      <c r="Q30" s="136"/>
      <c r="R30" s="136"/>
      <c r="S30" s="68"/>
    </row>
    <row r="31" spans="1:20" s="119" customFormat="1" x14ac:dyDescent="0.2">
      <c r="E31" s="149"/>
      <c r="F31" s="149"/>
      <c r="G31" s="126" t="e">
        <f>#REF!+#REF!+#REF!</f>
        <v>#REF!</v>
      </c>
      <c r="H31" s="126" t="e">
        <f>#REF!+#REF!+#REF!</f>
        <v>#REF!</v>
      </c>
      <c r="I31" s="126" t="e">
        <f>#REF!+#REF!+#REF!</f>
        <v>#REF!</v>
      </c>
      <c r="J31" s="193">
        <f>[106]год!$L23*1000</f>
        <v>362025.22214800003</v>
      </c>
      <c r="K31" s="195">
        <f>[106]год!$L36*1000</f>
        <v>448143.97378400003</v>
      </c>
      <c r="L31" s="193">
        <f>[106]год!$L49*1000</f>
        <v>151424.33799999999</v>
      </c>
      <c r="M31" s="192" t="e">
        <f t="shared" si="5"/>
        <v>#REF!</v>
      </c>
      <c r="N31" s="192" t="e">
        <f t="shared" si="4"/>
        <v>#REF!</v>
      </c>
      <c r="O31" s="192" t="e">
        <f t="shared" si="4"/>
        <v>#REF!</v>
      </c>
      <c r="P31" s="131"/>
      <c r="Q31" s="131"/>
      <c r="R31" s="131"/>
    </row>
    <row r="32" spans="1:20" s="119" customFormat="1" x14ac:dyDescent="0.2">
      <c r="G32" s="126" t="e">
        <f>#REF!+#REF!+#REF!</f>
        <v>#REF!</v>
      </c>
      <c r="H32" s="126" t="e">
        <f>#REF!+#REF!+#REF!</f>
        <v>#REF!</v>
      </c>
      <c r="I32" s="126" t="e">
        <f>#REF!+#REF!+#REF!</f>
        <v>#REF!</v>
      </c>
      <c r="J32" s="193">
        <f>[106]год!$L24*1000</f>
        <v>327100.83346399997</v>
      </c>
      <c r="K32" s="195">
        <f>[106]год!$L37*1000</f>
        <v>413167.18116360012</v>
      </c>
      <c r="L32" s="193">
        <f>[106]год!$L50*1000</f>
        <v>118577.425</v>
      </c>
      <c r="M32" s="192" t="e">
        <f t="shared" si="5"/>
        <v>#REF!</v>
      </c>
      <c r="N32" s="192" t="e">
        <f t="shared" si="4"/>
        <v>#REF!</v>
      </c>
      <c r="O32" s="192" t="e">
        <f t="shared" si="4"/>
        <v>#REF!</v>
      </c>
      <c r="P32" s="142"/>
      <c r="Q32" s="142"/>
      <c r="R32" s="142"/>
    </row>
    <row r="33" spans="7:18" s="119" customFormat="1" x14ac:dyDescent="0.2">
      <c r="G33" s="126" t="e">
        <f>#REF!+#REF!+#REF!</f>
        <v>#REF!</v>
      </c>
      <c r="H33" s="126" t="e">
        <f>#REF!+#REF!+#REF!</f>
        <v>#REF!</v>
      </c>
      <c r="I33" s="126" t="e">
        <f>#REF!+#REF!+#REF!</f>
        <v>#REF!</v>
      </c>
      <c r="J33" s="193">
        <f>[106]год!$L25*1000</f>
        <v>322706.72252300003</v>
      </c>
      <c r="K33" s="195">
        <f>[106]год!$L38*1000</f>
        <v>438578.4011260001</v>
      </c>
      <c r="L33" s="193">
        <f>[106]год!$L51*1000</f>
        <v>136702.204</v>
      </c>
      <c r="M33" s="192" t="e">
        <f t="shared" si="5"/>
        <v>#REF!</v>
      </c>
      <c r="N33" s="192" t="e">
        <f t="shared" si="4"/>
        <v>#REF!</v>
      </c>
      <c r="O33" s="192" t="e">
        <f t="shared" si="4"/>
        <v>#REF!</v>
      </c>
      <c r="P33" s="142"/>
      <c r="Q33" s="142"/>
      <c r="R33" s="142"/>
    </row>
    <row r="34" spans="7:18" s="119" customFormat="1" x14ac:dyDescent="0.2">
      <c r="G34" s="126" t="e">
        <f>#REF!+#REF!+#REF!</f>
        <v>#REF!</v>
      </c>
      <c r="H34" s="126" t="e">
        <f>#REF!+#REF!+#REF!</f>
        <v>#REF!</v>
      </c>
      <c r="I34" s="126" t="e">
        <f>#REF!+#REF!+#REF!</f>
        <v>#REF!</v>
      </c>
      <c r="J34" s="193">
        <f>[106]год!$L26*1000</f>
        <v>418291.66795000003</v>
      </c>
      <c r="K34" s="195">
        <f>[106]год!$L39*1000</f>
        <v>508380.38098799996</v>
      </c>
      <c r="L34" s="193">
        <f>[106]год!$L52*1000</f>
        <v>200257.527</v>
      </c>
      <c r="M34" s="192" t="e">
        <f t="shared" si="5"/>
        <v>#REF!</v>
      </c>
      <c r="N34" s="192" t="e">
        <f t="shared" si="4"/>
        <v>#REF!</v>
      </c>
      <c r="O34" s="192" t="e">
        <f t="shared" si="4"/>
        <v>#REF!</v>
      </c>
      <c r="P34" s="142"/>
      <c r="Q34" s="142"/>
      <c r="R34" s="142"/>
    </row>
    <row r="35" spans="7:18" s="119" customFormat="1" x14ac:dyDescent="0.2">
      <c r="G35" s="126" t="e">
        <f>#REF!+#REF!+#REF!</f>
        <v>#REF!</v>
      </c>
      <c r="H35" s="126" t="e">
        <f>#REF!+#REF!+#REF!</f>
        <v>#REF!</v>
      </c>
      <c r="I35" s="126" t="e">
        <f>#REF!+#REF!+#REF!</f>
        <v>#REF!</v>
      </c>
      <c r="J35" s="193">
        <f>[106]год!$L27*1000</f>
        <v>427642.87166600011</v>
      </c>
      <c r="K35" s="195">
        <f>[106]год!$L40*1000</f>
        <v>479357.46860899986</v>
      </c>
      <c r="L35" s="193">
        <f>[106]год!$L53*1000</f>
        <v>145589.38999599998</v>
      </c>
      <c r="M35" s="192" t="e">
        <f t="shared" si="5"/>
        <v>#REF!</v>
      </c>
      <c r="N35" s="192" t="e">
        <f t="shared" si="4"/>
        <v>#REF!</v>
      </c>
      <c r="O35" s="192" t="e">
        <f t="shared" si="4"/>
        <v>#REF!</v>
      </c>
      <c r="P35" s="142"/>
      <c r="Q35" s="142"/>
      <c r="R35" s="142"/>
    </row>
    <row r="36" spans="7:18" s="119" customFormat="1" x14ac:dyDescent="0.2">
      <c r="G36" s="126" t="e">
        <f>#REF!+#REF!+#REF!</f>
        <v>#REF!</v>
      </c>
      <c r="H36" s="126" t="e">
        <f>#REF!+#REF!+#REF!</f>
        <v>#REF!</v>
      </c>
      <c r="I36" s="126" t="e">
        <f>#REF!+#REF!+#REF!</f>
        <v>#REF!</v>
      </c>
      <c r="J36" s="193">
        <f>[106]год!$L28*1000</f>
        <v>331508.84790300007</v>
      </c>
      <c r="K36" s="195">
        <f>[106]год!$L41*1000</f>
        <v>420121.25717900007</v>
      </c>
      <c r="L36" s="193">
        <f>[106]год!$L54*1000</f>
        <v>103784.401</v>
      </c>
      <c r="M36" s="192" t="e">
        <f t="shared" si="5"/>
        <v>#REF!</v>
      </c>
      <c r="N36" s="192" t="e">
        <f t="shared" si="4"/>
        <v>#REF!</v>
      </c>
      <c r="O36" s="192" t="e">
        <f t="shared" si="4"/>
        <v>#REF!</v>
      </c>
      <c r="P36" s="142"/>
      <c r="Q36" s="142"/>
      <c r="R36" s="142"/>
    </row>
    <row r="37" spans="7:18" x14ac:dyDescent="0.2">
      <c r="G37" s="126" t="e">
        <f>#REF!+#REF!+#REF!</f>
        <v>#REF!</v>
      </c>
      <c r="H37" s="126" t="e">
        <f>#REF!+#REF!+#REF!</f>
        <v>#REF!</v>
      </c>
      <c r="I37" s="126" t="e">
        <f>#REF!+#REF!+#REF!</f>
        <v>#REF!</v>
      </c>
      <c r="J37" s="193">
        <f>[106]год!$L29*1000</f>
        <v>367085.77350700006</v>
      </c>
      <c r="K37" s="195">
        <f>[106]год!$L42*1000</f>
        <v>463266.42209999979</v>
      </c>
      <c r="L37" s="193">
        <f>[106]год!$L55*1000</f>
        <v>201683.12700000001</v>
      </c>
      <c r="M37" s="192" t="e">
        <f t="shared" si="5"/>
        <v>#REF!</v>
      </c>
      <c r="N37" s="192" t="e">
        <f t="shared" si="4"/>
        <v>#REF!</v>
      </c>
      <c r="O37" s="192" t="e">
        <f t="shared" si="4"/>
        <v>#REF!</v>
      </c>
    </row>
    <row r="38" spans="7:18" x14ac:dyDescent="0.2">
      <c r="G38" s="126" t="e">
        <f>#REF!+#REF!+#REF!</f>
        <v>#REF!</v>
      </c>
      <c r="H38" s="126" t="e">
        <f>#REF!+#REF!+#REF!</f>
        <v>#REF!</v>
      </c>
      <c r="I38" s="126" t="e">
        <f>#REF!+#REF!+#REF!</f>
        <v>#REF!</v>
      </c>
      <c r="J38" s="193">
        <f>[106]год!$L30*1000</f>
        <v>375350.94855199999</v>
      </c>
      <c r="K38" s="195">
        <f>[106]год!$L43*1000</f>
        <v>496088.78649299993</v>
      </c>
      <c r="L38" s="193">
        <f>[106]год!$L56*1000</f>
        <v>194199.422999</v>
      </c>
      <c r="M38" s="192" t="e">
        <f t="shared" si="5"/>
        <v>#REF!</v>
      </c>
      <c r="N38" s="192" t="e">
        <f t="shared" si="4"/>
        <v>#REF!</v>
      </c>
      <c r="O38" s="192" t="e">
        <f t="shared" si="4"/>
        <v>#REF!</v>
      </c>
    </row>
    <row r="39" spans="7:18" x14ac:dyDescent="0.2">
      <c r="G39" s="126">
        <f>январь22!D$6+январь22!H$6+январь22!L$6</f>
        <v>436890.65975800005</v>
      </c>
      <c r="H39" s="126">
        <f>январь22!E$6+январь22!I$6+январь22!M$6</f>
        <v>528965.72815600003</v>
      </c>
      <c r="I39" s="126">
        <f>январь22!F$6+январь22!J$6+январь22!N$6</f>
        <v>227381.59399999998</v>
      </c>
      <c r="J39" s="193">
        <f>[106]год!$L31*1000</f>
        <v>349186.00393300009</v>
      </c>
      <c r="K39" s="195">
        <f>[106]год!$L44*1000</f>
        <v>518210.85489299981</v>
      </c>
      <c r="L39" s="193">
        <f>[106]год!$L57*1000</f>
        <v>326197.022</v>
      </c>
      <c r="M39" s="192">
        <f t="shared" si="5"/>
        <v>87704.655824999965</v>
      </c>
      <c r="N39" s="192">
        <f t="shared" si="4"/>
        <v>10754.87326300022</v>
      </c>
      <c r="O39" s="192">
        <f t="shared" si="4"/>
        <v>-98815.428000000014</v>
      </c>
    </row>
    <row r="40" spans="7:18" x14ac:dyDescent="0.2">
      <c r="G40" s="126"/>
      <c r="H40" s="126"/>
      <c r="I40" s="126"/>
      <c r="J40" s="191"/>
    </row>
  </sheetData>
  <mergeCells count="13"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  <mergeCell ref="K4:K5"/>
    <mergeCell ref="L4:N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2:O23"/>
  <sheetViews>
    <sheetView workbookViewId="0">
      <selection activeCell="F18" sqref="F18"/>
    </sheetView>
  </sheetViews>
  <sheetFormatPr defaultRowHeight="12.75" x14ac:dyDescent="0.2"/>
  <cols>
    <col min="1" max="2" width="14.5703125" customWidth="1"/>
    <col min="3" max="3" width="14" bestFit="1" customWidth="1"/>
    <col min="4" max="4" width="15.7109375" bestFit="1" customWidth="1"/>
    <col min="5" max="5" width="15.42578125" customWidth="1"/>
    <col min="6" max="6" width="14.140625" bestFit="1" customWidth="1"/>
    <col min="7" max="7" width="11.85546875" bestFit="1" customWidth="1"/>
    <col min="8" max="8" width="14.42578125" customWidth="1"/>
    <col min="9" max="9" width="11.85546875" style="11" customWidth="1"/>
    <col min="10" max="10" width="14" style="11" bestFit="1" customWidth="1"/>
    <col min="11" max="11" width="15.140625" style="11" customWidth="1"/>
    <col min="12" max="12" width="17.7109375" style="11" customWidth="1"/>
    <col min="13" max="13" width="10.85546875" style="11" customWidth="1"/>
    <col min="14" max="14" width="11.85546875" style="11" customWidth="1"/>
    <col min="15" max="15" width="9.85546875" style="11" customWidth="1"/>
  </cols>
  <sheetData>
    <row r="2" spans="1:14" ht="54.75" customHeight="1" x14ac:dyDescent="0.2">
      <c r="A2" s="207" t="s">
        <v>18</v>
      </c>
      <c r="B2" s="207"/>
      <c r="C2" s="207"/>
      <c r="D2" s="207"/>
      <c r="E2" s="207"/>
      <c r="F2" s="207"/>
      <c r="G2" s="207"/>
      <c r="H2" s="207"/>
      <c r="I2" s="16"/>
      <c r="J2" s="16"/>
      <c r="K2" s="16"/>
      <c r="L2" s="16"/>
    </row>
    <row r="3" spans="1:14" x14ac:dyDescent="0.2">
      <c r="A3" s="1"/>
      <c r="B3" s="1"/>
      <c r="C3" s="1"/>
      <c r="D3" s="1"/>
      <c r="E3" s="1"/>
      <c r="F3" s="1"/>
      <c r="G3" s="1"/>
      <c r="H3" s="1"/>
      <c r="I3" s="16"/>
      <c r="J3" s="16"/>
      <c r="K3" s="16"/>
      <c r="L3" s="16"/>
    </row>
    <row r="4" spans="1:14" x14ac:dyDescent="0.2">
      <c r="H4" s="2" t="s">
        <v>0</v>
      </c>
    </row>
    <row r="5" spans="1:14" ht="30" customHeight="1" x14ac:dyDescent="0.2">
      <c r="A5" s="230" t="s">
        <v>1</v>
      </c>
      <c r="B5" s="227" t="s">
        <v>2</v>
      </c>
      <c r="C5" s="228"/>
      <c r="D5" s="228"/>
      <c r="E5" s="229"/>
      <c r="F5" s="227" t="s">
        <v>3</v>
      </c>
      <c r="G5" s="228"/>
      <c r="H5" s="229"/>
      <c r="J5" s="227" t="s">
        <v>17</v>
      </c>
      <c r="K5" s="228"/>
      <c r="L5" s="229"/>
      <c r="N5" s="13"/>
    </row>
    <row r="6" spans="1:14" ht="26.25" customHeight="1" x14ac:dyDescent="0.2">
      <c r="A6" s="230"/>
      <c r="B6" s="3" t="s">
        <v>4</v>
      </c>
      <c r="C6" s="3" t="s">
        <v>5</v>
      </c>
      <c r="D6" s="3" t="s">
        <v>6</v>
      </c>
      <c r="E6" s="3" t="s">
        <v>7</v>
      </c>
      <c r="F6" s="3" t="s">
        <v>4</v>
      </c>
      <c r="G6" s="3" t="s">
        <v>5</v>
      </c>
      <c r="H6" s="3" t="s">
        <v>6</v>
      </c>
      <c r="J6" s="3" t="s">
        <v>5</v>
      </c>
      <c r="K6" s="3" t="s">
        <v>6</v>
      </c>
      <c r="L6" s="3" t="s">
        <v>4</v>
      </c>
      <c r="N6" s="13"/>
    </row>
    <row r="7" spans="1:14" x14ac:dyDescent="0.2">
      <c r="A7" s="4" t="s">
        <v>8</v>
      </c>
      <c r="B7" s="5" t="e">
        <f>C7+D7</f>
        <v>#REF!</v>
      </c>
      <c r="C7" s="19" t="e">
        <f>'янв 13 только УПП'!G7+#REF!+#REF!+#REF!+#REF!</f>
        <v>#REF!</v>
      </c>
      <c r="D7" s="19" t="e">
        <f>'янв 13 только УПП'!H7+#REF!+#REF!+#REF!+#REF!</f>
        <v>#REF!</v>
      </c>
      <c r="E7" s="6"/>
      <c r="F7" s="5" t="e">
        <f>G7+H7</f>
        <v>#REF!</v>
      </c>
      <c r="G7" s="19" t="e">
        <f>'янв 13 только УПП'!K7+#REF!+#REF!+#REF!+#REF!</f>
        <v>#REF!</v>
      </c>
      <c r="H7" s="19" t="e">
        <f>'янв 13 только УПП'!L7+#REF!+#REF!+#REF!+#REF!</f>
        <v>#REF!</v>
      </c>
      <c r="J7" s="29" t="e">
        <f>C7+G7</f>
        <v>#REF!</v>
      </c>
      <c r="K7" s="29" t="e">
        <f>D7+H7</f>
        <v>#REF!</v>
      </c>
      <c r="L7" s="30" t="e">
        <f>J7+K7</f>
        <v>#REF!</v>
      </c>
      <c r="N7" s="13"/>
    </row>
    <row r="8" spans="1:14" x14ac:dyDescent="0.2">
      <c r="A8" s="4" t="s">
        <v>9</v>
      </c>
      <c r="B8" s="5" t="e">
        <f>C8+D8</f>
        <v>#REF!</v>
      </c>
      <c r="C8" s="19" t="e">
        <f>'янв 13 только УПП'!G8+#REF!+#REF!+#REF!+#REF!</f>
        <v>#REF!</v>
      </c>
      <c r="D8" s="19" t="e">
        <f>'янв 13 только УПП'!H8+#REF!+#REF!+#REF!+#REF!</f>
        <v>#REF!</v>
      </c>
      <c r="E8" s="6"/>
      <c r="F8" s="5" t="e">
        <f>G8+H8</f>
        <v>#REF!</v>
      </c>
      <c r="G8" s="19" t="e">
        <f>'янв 13 только УПП'!K8+#REF!+#REF!+#REF!+#REF!</f>
        <v>#REF!</v>
      </c>
      <c r="H8" s="19" t="e">
        <f>'янв 13 только УПП'!L8+#REF!+#REF!+#REF!+#REF!</f>
        <v>#REF!</v>
      </c>
      <c r="J8" s="29" t="e">
        <f t="shared" ref="J8:K11" si="0">C8+G8</f>
        <v>#REF!</v>
      </c>
      <c r="K8" s="29" t="e">
        <f t="shared" si="0"/>
        <v>#REF!</v>
      </c>
      <c r="L8" s="30" t="e">
        <f>J8+K8</f>
        <v>#REF!</v>
      </c>
      <c r="M8" s="20"/>
      <c r="N8" s="14"/>
    </row>
    <row r="9" spans="1:14" x14ac:dyDescent="0.2">
      <c r="A9" s="4" t="s">
        <v>10</v>
      </c>
      <c r="B9" s="5" t="e">
        <f>C9+D9</f>
        <v>#REF!</v>
      </c>
      <c r="C9" s="19" t="e">
        <f>'янв 13 только УПП'!G9+#REF!+#REF!+#REF!+#REF!</f>
        <v>#REF!</v>
      </c>
      <c r="D9" s="19" t="e">
        <f>'янв 13 только УПП'!H9+#REF!+#REF!+#REF!+#REF!</f>
        <v>#REF!</v>
      </c>
      <c r="E9" s="6"/>
      <c r="F9" s="5" t="e">
        <f>G9+H9</f>
        <v>#REF!</v>
      </c>
      <c r="G9" s="19" t="e">
        <f>'янв 13 только УПП'!K9+#REF!+#REF!+#REF!+#REF!</f>
        <v>#REF!</v>
      </c>
      <c r="H9" s="19" t="e">
        <f>'янв 13 только УПП'!L9+#REF!+#REF!+#REF!+#REF!</f>
        <v>#REF!</v>
      </c>
      <c r="I9" s="28"/>
      <c r="J9" s="29" t="e">
        <f t="shared" si="0"/>
        <v>#REF!</v>
      </c>
      <c r="K9" s="29" t="e">
        <f t="shared" si="0"/>
        <v>#REF!</v>
      </c>
      <c r="L9" s="30" t="e">
        <f>J9+K9</f>
        <v>#REF!</v>
      </c>
      <c r="M9" s="21"/>
      <c r="N9" s="14"/>
    </row>
    <row r="10" spans="1:14" x14ac:dyDescent="0.2">
      <c r="A10" s="4" t="s">
        <v>11</v>
      </c>
      <c r="B10" s="5" t="e">
        <f>C10+D10</f>
        <v>#REF!</v>
      </c>
      <c r="C10" s="19" t="e">
        <f>'янв 13 только УПП'!G10+#REF!+#REF!+#REF!+#REF!</f>
        <v>#REF!</v>
      </c>
      <c r="D10" s="19" t="e">
        <f>'янв 13 только УПП'!H10+#REF!+#REF!+#REF!+#REF!</f>
        <v>#REF!</v>
      </c>
      <c r="E10" s="6"/>
      <c r="F10" s="5" t="e">
        <f>G10+H10</f>
        <v>#REF!</v>
      </c>
      <c r="G10" s="19" t="e">
        <f>'янв 13 только УПП'!K10+#REF!+#REF!+#REF!+#REF!</f>
        <v>#REF!</v>
      </c>
      <c r="H10" s="19" t="e">
        <f>'янв 13 только УПП'!L10+#REF!+#REF!+#REF!+#REF!</f>
        <v>#REF!</v>
      </c>
      <c r="I10" s="28"/>
      <c r="J10" s="29" t="e">
        <f t="shared" si="0"/>
        <v>#REF!</v>
      </c>
      <c r="K10" s="29" t="e">
        <f t="shared" si="0"/>
        <v>#REF!</v>
      </c>
      <c r="L10" s="30" t="e">
        <f>J10+K10</f>
        <v>#REF!</v>
      </c>
      <c r="M10" s="21"/>
      <c r="N10" s="14"/>
    </row>
    <row r="11" spans="1:14" x14ac:dyDescent="0.2">
      <c r="A11" s="8" t="s">
        <v>4</v>
      </c>
      <c r="B11" s="5" t="e">
        <f>C11+D11+E11</f>
        <v>#REF!</v>
      </c>
      <c r="C11" s="27" t="e">
        <f>SUM(C7:C10)</f>
        <v>#REF!</v>
      </c>
      <c r="D11" s="27" t="e">
        <f>SUM(D7:D10)</f>
        <v>#REF!</v>
      </c>
      <c r="E11" s="27">
        <f>'[107]Акт наш вариант '!$B$53/1000</f>
        <v>73163.262000000002</v>
      </c>
      <c r="F11" s="15" t="e">
        <f>G11+H11</f>
        <v>#REF!</v>
      </c>
      <c r="G11" s="9" t="e">
        <f>SUM(G9:G10)</f>
        <v>#REF!</v>
      </c>
      <c r="H11" s="9" t="e">
        <f>SUM(H7:H10)</f>
        <v>#REF!</v>
      </c>
      <c r="I11" s="28"/>
      <c r="J11" s="29" t="e">
        <f t="shared" si="0"/>
        <v>#REF!</v>
      </c>
      <c r="K11" s="29" t="e">
        <f t="shared" si="0"/>
        <v>#REF!</v>
      </c>
      <c r="L11" s="30" t="e">
        <f>J11+K11</f>
        <v>#REF!</v>
      </c>
      <c r="M11" s="20"/>
      <c r="N11" s="14"/>
    </row>
    <row r="12" spans="1:14" x14ac:dyDescent="0.2">
      <c r="I12" s="28"/>
      <c r="J12" s="23"/>
      <c r="K12" s="24" t="e">
        <f>K11-J11</f>
        <v>#REF!</v>
      </c>
      <c r="L12" s="20"/>
      <c r="M12" s="20"/>
      <c r="N12" s="14"/>
    </row>
    <row r="13" spans="1:14" x14ac:dyDescent="0.2">
      <c r="B13" s="12"/>
      <c r="C13" s="10"/>
      <c r="D13" s="31" t="e">
        <f>D7/K7</f>
        <v>#REF!</v>
      </c>
      <c r="I13" s="28"/>
      <c r="J13" s="22"/>
      <c r="K13" s="25">
        <v>56.982999999999997</v>
      </c>
      <c r="L13" s="20"/>
      <c r="M13" s="20"/>
      <c r="N13" s="14"/>
    </row>
    <row r="14" spans="1:14" x14ac:dyDescent="0.2">
      <c r="D14" s="31" t="e">
        <f>D8/K8</f>
        <v>#REF!</v>
      </c>
      <c r="J14" s="24"/>
      <c r="K14" s="24">
        <f>'[6]май всего'!$C$82/1000</f>
        <v>7053.212999505</v>
      </c>
      <c r="L14" s="20"/>
      <c r="M14" s="20"/>
      <c r="N14" s="14"/>
    </row>
    <row r="15" spans="1:14" x14ac:dyDescent="0.2">
      <c r="D15" s="31" t="e">
        <f>D9/K9</f>
        <v>#REF!</v>
      </c>
      <c r="G15" s="32"/>
      <c r="H15" s="33" t="e">
        <f>H9/K9</f>
        <v>#REF!</v>
      </c>
      <c r="J15" s="25"/>
      <c r="K15" s="24"/>
      <c r="L15" s="20"/>
      <c r="M15" s="20"/>
      <c r="N15" s="14"/>
    </row>
    <row r="16" spans="1:14" x14ac:dyDescent="0.2">
      <c r="D16" s="31" t="e">
        <f>D10/K10</f>
        <v>#REF!</v>
      </c>
      <c r="G16" s="32"/>
      <c r="H16" s="33" t="e">
        <f>H10/K10</f>
        <v>#REF!</v>
      </c>
      <c r="N16" s="14"/>
    </row>
    <row r="17" spans="10:14" x14ac:dyDescent="0.2">
      <c r="J17" s="17"/>
      <c r="K17" s="26" t="e">
        <f>K12-K13-K14-K15</f>
        <v>#REF!</v>
      </c>
      <c r="N17" s="14"/>
    </row>
    <row r="18" spans="10:14" x14ac:dyDescent="0.2">
      <c r="K18" s="26">
        <v>2.028</v>
      </c>
    </row>
    <row r="19" spans="10:14" x14ac:dyDescent="0.2">
      <c r="K19" s="26">
        <v>-1.6E-2</v>
      </c>
    </row>
    <row r="20" spans="10:14" x14ac:dyDescent="0.2">
      <c r="N20" s="14"/>
    </row>
    <row r="21" spans="10:14" x14ac:dyDescent="0.2">
      <c r="K21" s="17"/>
      <c r="N21" s="14"/>
    </row>
    <row r="23" spans="10:14" x14ac:dyDescent="0.2">
      <c r="J23" s="17"/>
      <c r="K23" s="17"/>
      <c r="L23" s="17"/>
    </row>
  </sheetData>
  <mergeCells count="5">
    <mergeCell ref="J5:L5"/>
    <mergeCell ref="A2:H2"/>
    <mergeCell ref="A5:A6"/>
    <mergeCell ref="B5:E5"/>
    <mergeCell ref="F5:H5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2:T28"/>
  <sheetViews>
    <sheetView view="pageBreakPreview" zoomScaleNormal="100" zoomScaleSheetLayoutView="100" workbookViewId="0">
      <selection activeCell="A16" sqref="A16:L16"/>
    </sheetView>
  </sheetViews>
  <sheetFormatPr defaultRowHeight="12.75" x14ac:dyDescent="0.2"/>
  <cols>
    <col min="1" max="1" width="14.5703125" customWidth="1"/>
    <col min="2" max="2" width="8.42578125" bestFit="1" customWidth="1"/>
    <col min="3" max="3" width="8.85546875" customWidth="1"/>
    <col min="4" max="4" width="13.7109375" customWidth="1"/>
    <col min="5" max="5" width="10" customWidth="1"/>
    <col min="6" max="6" width="14.5703125" customWidth="1"/>
    <col min="7" max="7" width="13.140625" bestFit="1" customWidth="1"/>
    <col min="8" max="8" width="13.85546875" customWidth="1"/>
    <col min="9" max="9" width="15.42578125" customWidth="1"/>
    <col min="10" max="10" width="12.7109375" customWidth="1"/>
    <col min="11" max="11" width="12" bestFit="1" customWidth="1"/>
    <col min="12" max="12" width="14.42578125" customWidth="1"/>
    <col min="13" max="13" width="11.85546875" style="50" customWidth="1"/>
    <col min="14" max="14" width="14" style="50" bestFit="1" customWidth="1"/>
    <col min="15" max="15" width="15.140625" style="50" customWidth="1"/>
    <col min="16" max="16" width="11.85546875" style="50" customWidth="1"/>
    <col min="17" max="17" width="10.85546875" style="61" customWidth="1"/>
    <col min="18" max="18" width="11.85546875" style="61" customWidth="1"/>
    <col min="19" max="19" width="9.85546875" style="61" customWidth="1"/>
    <col min="20" max="20" width="9.140625" style="61"/>
  </cols>
  <sheetData>
    <row r="2" spans="1:17" ht="54.75" customHeight="1" x14ac:dyDescent="0.2">
      <c r="A2" s="207" t="s">
        <v>25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49"/>
      <c r="N2" s="49"/>
      <c r="O2" s="49"/>
      <c r="P2" s="49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9"/>
      <c r="N3" s="49"/>
      <c r="O3" s="49"/>
      <c r="P3" s="49"/>
    </row>
    <row r="4" spans="1:17" x14ac:dyDescent="0.2">
      <c r="L4" s="2" t="s">
        <v>0</v>
      </c>
    </row>
    <row r="5" spans="1:17" ht="30" customHeight="1" x14ac:dyDescent="0.2">
      <c r="A5" s="203" t="s">
        <v>1</v>
      </c>
      <c r="B5" s="204" t="s">
        <v>20</v>
      </c>
      <c r="C5" s="205"/>
      <c r="D5" s="205"/>
      <c r="E5" s="206"/>
      <c r="F5" s="204" t="s">
        <v>2</v>
      </c>
      <c r="G5" s="205"/>
      <c r="H5" s="205"/>
      <c r="I5" s="206"/>
      <c r="J5" s="204" t="s">
        <v>3</v>
      </c>
      <c r="K5" s="205"/>
      <c r="L5" s="206"/>
    </row>
    <row r="6" spans="1:17" ht="26.25" customHeight="1" x14ac:dyDescent="0.2">
      <c r="A6" s="203"/>
      <c r="B6" s="47" t="s">
        <v>4</v>
      </c>
      <c r="C6" s="47" t="s">
        <v>5</v>
      </c>
      <c r="D6" s="47" t="s">
        <v>6</v>
      </c>
      <c r="E6" s="47" t="s">
        <v>21</v>
      </c>
      <c r="F6" s="47" t="s">
        <v>4</v>
      </c>
      <c r="G6" s="47" t="s">
        <v>5</v>
      </c>
      <c r="H6" s="47" t="s">
        <v>6</v>
      </c>
      <c r="I6" s="47" t="s">
        <v>7</v>
      </c>
      <c r="J6" s="47" t="s">
        <v>4</v>
      </c>
      <c r="K6" s="47" t="s">
        <v>5</v>
      </c>
      <c r="L6" s="47" t="s">
        <v>6</v>
      </c>
    </row>
    <row r="7" spans="1:17" x14ac:dyDescent="0.2">
      <c r="A7" s="45" t="s">
        <v>8</v>
      </c>
      <c r="B7" s="5">
        <f>C7+D7</f>
        <v>731.59799999999996</v>
      </c>
      <c r="C7" s="6"/>
      <c r="D7" s="6">
        <f>[1]март!$D7/1000</f>
        <v>731.59799999999996</v>
      </c>
      <c r="E7" s="6"/>
      <c r="F7" s="5">
        <f>G7+H7</f>
        <v>137327.86600000001</v>
      </c>
      <c r="G7" s="6">
        <f>[2]март!G52/1000</f>
        <v>721.21400000000006</v>
      </c>
      <c r="H7" s="6">
        <f>([2]март!F52+[2]март!E52)/1000</f>
        <v>136606.652</v>
      </c>
      <c r="I7" s="6"/>
      <c r="J7" s="5">
        <f>K7+L7</f>
        <v>0</v>
      </c>
      <c r="K7" s="7">
        <f>[3]март!G62/1000</f>
        <v>0</v>
      </c>
      <c r="L7" s="7">
        <f>[3]март!F62/1000</f>
        <v>0</v>
      </c>
      <c r="O7" s="51"/>
      <c r="P7" s="51"/>
    </row>
    <row r="8" spans="1:17" x14ac:dyDescent="0.2">
      <c r="A8" s="45" t="s">
        <v>9</v>
      </c>
      <c r="B8" s="5">
        <f>C8+D8</f>
        <v>0</v>
      </c>
      <c r="C8" s="6"/>
      <c r="D8" s="6">
        <f>[1]март!$D8/1000</f>
        <v>0</v>
      </c>
      <c r="E8" s="6"/>
      <c r="F8" s="5">
        <f>G8+H8</f>
        <v>32342.511999999999</v>
      </c>
      <c r="G8" s="6">
        <f>[2]март!G53/1000</f>
        <v>471.94</v>
      </c>
      <c r="H8" s="6">
        <f>([2]март!F53+[2]март!E53)/1000</f>
        <v>31870.572</v>
      </c>
      <c r="I8" s="6"/>
      <c r="J8" s="5">
        <f>K8+L8</f>
        <v>0</v>
      </c>
      <c r="K8" s="7">
        <f>[3]март!G63/1000</f>
        <v>0</v>
      </c>
      <c r="L8" s="7">
        <f>[3]март!F63/1000</f>
        <v>0</v>
      </c>
      <c r="O8" s="51"/>
      <c r="P8" s="51"/>
    </row>
    <row r="9" spans="1:17" x14ac:dyDescent="0.2">
      <c r="A9" s="45" t="s">
        <v>10</v>
      </c>
      <c r="B9" s="5">
        <f>C9+D9</f>
        <v>0</v>
      </c>
      <c r="C9" s="6"/>
      <c r="D9" s="6">
        <f>[1]март!$D9/1000</f>
        <v>0</v>
      </c>
      <c r="E9" s="6"/>
      <c r="F9" s="5">
        <f>G9+H9</f>
        <v>104375.44099999999</v>
      </c>
      <c r="G9" s="6">
        <f>[2]март!G54/1000</f>
        <v>10870.787</v>
      </c>
      <c r="H9" s="6">
        <f>([2]март!F54+[2]март!E54)/1000</f>
        <v>93504.653999999995</v>
      </c>
      <c r="I9" s="6"/>
      <c r="J9" s="5">
        <f>K9+L9</f>
        <v>720.06</v>
      </c>
      <c r="K9" s="7">
        <f>[3]март!G64/1000</f>
        <v>27.834</v>
      </c>
      <c r="L9" s="7">
        <f>[3]март!F64/1000</f>
        <v>692.226</v>
      </c>
      <c r="M9" s="52"/>
      <c r="N9" s="53"/>
      <c r="O9" s="51"/>
      <c r="P9" s="51"/>
      <c r="Q9" s="62"/>
    </row>
    <row r="10" spans="1:17" x14ac:dyDescent="0.2">
      <c r="A10" s="45" t="s">
        <v>11</v>
      </c>
      <c r="B10" s="5">
        <f>C10+D10</f>
        <v>0</v>
      </c>
      <c r="C10" s="6"/>
      <c r="D10" s="6">
        <f>[1]март!$D10/1000</f>
        <v>0</v>
      </c>
      <c r="E10" s="6"/>
      <c r="F10" s="5">
        <f>G10+H10</f>
        <v>135565.247</v>
      </c>
      <c r="G10" s="6">
        <f>[2]март!G55/1000</f>
        <v>95666.475999999995</v>
      </c>
      <c r="H10" s="6">
        <f>([2]март!F55+[2]март!E55)/1000</f>
        <v>39898.771000000001</v>
      </c>
      <c r="I10" s="6"/>
      <c r="J10" s="5">
        <f>K10+L10</f>
        <v>1534.5350000000001</v>
      </c>
      <c r="K10" s="7">
        <f>[3]март!G65/1000</f>
        <v>1239.479</v>
      </c>
      <c r="L10" s="7">
        <f>[3]март!F65/1000</f>
        <v>295.05599999999998</v>
      </c>
      <c r="M10" s="52"/>
      <c r="N10" s="53" t="s">
        <v>33</v>
      </c>
      <c r="O10" s="54" t="s">
        <v>28</v>
      </c>
      <c r="Q10" s="62"/>
    </row>
    <row r="11" spans="1:17" x14ac:dyDescent="0.2">
      <c r="A11" s="45" t="s">
        <v>4</v>
      </c>
      <c r="B11" s="5">
        <f>C11+D11+E11</f>
        <v>742.67399999999998</v>
      </c>
      <c r="C11" s="9">
        <f>SUM(C7:C10)</f>
        <v>0</v>
      </c>
      <c r="D11" s="9">
        <f>SUM(D7:D10)</f>
        <v>731.59799999999996</v>
      </c>
      <c r="E11" s="9">
        <f>'[10]Акт наш вариант '!$E$18/1000</f>
        <v>11.076000000000001</v>
      </c>
      <c r="F11" s="5">
        <f>G11+H11+I11</f>
        <v>548201.41500000004</v>
      </c>
      <c r="G11" s="9">
        <f>SUM(G7:G10)</f>
        <v>107730.417</v>
      </c>
      <c r="H11" s="9">
        <f>SUM(H7:H10)</f>
        <v>301880.64899999998</v>
      </c>
      <c r="I11" s="9">
        <f>('[9]справочно СВОД'!$C$770+'[9]справочно СВОД'!$C$805)/1000</f>
        <v>138590.34899999999</v>
      </c>
      <c r="J11" s="5">
        <f>K11+L11</f>
        <v>2254.5950000000003</v>
      </c>
      <c r="K11" s="27">
        <f>SUM(K9:K10)</f>
        <v>1267.3130000000001</v>
      </c>
      <c r="L11" s="27">
        <f>SUM(L7:L10)</f>
        <v>987.28199999999993</v>
      </c>
      <c r="M11" s="52">
        <f>B11+F11+J11</f>
        <v>551198.68400000001</v>
      </c>
      <c r="N11" s="51">
        <f>F11+J11-I11-[11]СВОД!$C$2380/1000</f>
        <v>411750.60500000004</v>
      </c>
      <c r="O11" s="55">
        <f>[11]СВОД!$C$15/1000</f>
        <v>413614.20864635991</v>
      </c>
      <c r="P11" s="56"/>
    </row>
    <row r="12" spans="1:17" x14ac:dyDescent="0.2">
      <c r="M12" s="52"/>
      <c r="N12" s="56"/>
      <c r="O12" s="57">
        <f>O11-N11</f>
        <v>1863.6036463598721</v>
      </c>
      <c r="P12" s="50" t="s">
        <v>15</v>
      </c>
    </row>
    <row r="13" spans="1:17" x14ac:dyDescent="0.2">
      <c r="F13" s="12"/>
      <c r="G13" s="10"/>
      <c r="M13" s="52"/>
      <c r="N13" s="55"/>
      <c r="O13" s="58">
        <f>[11]СВОД!$P$2567/1000</f>
        <v>524.35699999999997</v>
      </c>
      <c r="P13" s="50" t="s">
        <v>31</v>
      </c>
    </row>
    <row r="14" spans="1:17" x14ac:dyDescent="0.2">
      <c r="N14" s="57"/>
      <c r="O14" s="58">
        <f>[11]СВОД!$M$2568/1000</f>
        <v>142.858</v>
      </c>
      <c r="P14" s="50" t="s">
        <v>30</v>
      </c>
    </row>
    <row r="15" spans="1:17" x14ac:dyDescent="0.2">
      <c r="A15" s="43" t="s">
        <v>23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59"/>
      <c r="N15" s="58"/>
      <c r="O15" s="58">
        <f>G21+F23</f>
        <v>103.11000000000419</v>
      </c>
      <c r="P15" s="50" t="s">
        <v>29</v>
      </c>
    </row>
    <row r="16" spans="1:17" ht="28.5" customHeight="1" x14ac:dyDescent="0.2">
      <c r="A16" s="208" t="s">
        <v>24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60"/>
      <c r="O16" s="58">
        <f>[11]неотк!$C$11/1000</f>
        <v>1064.7639999999999</v>
      </c>
      <c r="P16" s="50" t="s">
        <v>12</v>
      </c>
    </row>
    <row r="17" spans="5:16" x14ac:dyDescent="0.2">
      <c r="N17" s="57"/>
      <c r="O17" s="58">
        <f>[11]СВОД!$I$2549/1000</f>
        <v>731.59799999999996</v>
      </c>
      <c r="P17" s="50" t="s">
        <v>32</v>
      </c>
    </row>
    <row r="18" spans="5:16" s="50" customFormat="1" x14ac:dyDescent="0.2">
      <c r="O18" s="58">
        <v>115.28</v>
      </c>
      <c r="P18" s="50" t="s">
        <v>34</v>
      </c>
    </row>
    <row r="19" spans="5:16" s="50" customFormat="1" x14ac:dyDescent="0.2">
      <c r="O19" s="57">
        <f>O12-O13-O14-O15-O16-O17-O18</f>
        <v>-818.36335364013189</v>
      </c>
      <c r="P19" s="50" t="s">
        <v>35</v>
      </c>
    </row>
    <row r="20" spans="5:16" s="50" customFormat="1" x14ac:dyDescent="0.2">
      <c r="G20" s="51">
        <v>109100.84</v>
      </c>
    </row>
    <row r="21" spans="5:16" s="50" customFormat="1" x14ac:dyDescent="0.2">
      <c r="G21" s="51">
        <v>98.393000000000001</v>
      </c>
    </row>
    <row r="22" spans="5:16" s="50" customFormat="1" x14ac:dyDescent="0.2">
      <c r="F22" s="52">
        <f>G11+K11</f>
        <v>108997.73</v>
      </c>
      <c r="G22" s="51">
        <f>G20-G21</f>
        <v>109002.447</v>
      </c>
    </row>
    <row r="23" spans="5:16" s="50" customFormat="1" x14ac:dyDescent="0.2">
      <c r="E23" s="63" t="s">
        <v>15</v>
      </c>
      <c r="F23" s="64">
        <f>G22-F22</f>
        <v>4.717000000004191</v>
      </c>
      <c r="N23" s="57"/>
      <c r="O23" s="57"/>
      <c r="P23" s="57"/>
    </row>
    <row r="24" spans="5:16" s="50" customFormat="1" x14ac:dyDescent="0.2">
      <c r="E24" s="50" t="s">
        <v>26</v>
      </c>
      <c r="F24" s="55">
        <v>4.16</v>
      </c>
    </row>
    <row r="25" spans="5:16" s="50" customFormat="1" x14ac:dyDescent="0.2">
      <c r="E25" s="50" t="s">
        <v>26</v>
      </c>
      <c r="F25" s="55">
        <v>0.26400000000000001</v>
      </c>
    </row>
    <row r="26" spans="5:16" s="50" customFormat="1" x14ac:dyDescent="0.2">
      <c r="E26" s="50" t="s">
        <v>27</v>
      </c>
      <c r="F26" s="55">
        <v>0.29299999999999998</v>
      </c>
    </row>
    <row r="27" spans="5:16" s="50" customFormat="1" x14ac:dyDescent="0.2"/>
    <row r="28" spans="5:16" s="50" customFormat="1" x14ac:dyDescent="0.2"/>
  </sheetData>
  <mergeCells count="6">
    <mergeCell ref="A16:L16"/>
    <mergeCell ref="A2:L2"/>
    <mergeCell ref="A5:A6"/>
    <mergeCell ref="B5:E5"/>
    <mergeCell ref="F5:I5"/>
    <mergeCell ref="J5:L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7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2:X31"/>
  <sheetViews>
    <sheetView view="pageBreakPreview" zoomScaleNormal="100" zoomScaleSheetLayoutView="100" workbookViewId="0">
      <selection activeCell="A16" sqref="A16:L16"/>
    </sheetView>
  </sheetViews>
  <sheetFormatPr defaultRowHeight="12.75" x14ac:dyDescent="0.2"/>
  <cols>
    <col min="1" max="1" width="14.5703125" customWidth="1"/>
    <col min="2" max="2" width="8.42578125" bestFit="1" customWidth="1"/>
    <col min="3" max="3" width="8.85546875" customWidth="1"/>
    <col min="4" max="4" width="13.7109375" customWidth="1"/>
    <col min="5" max="5" width="10" customWidth="1"/>
    <col min="6" max="6" width="14.5703125" customWidth="1"/>
    <col min="7" max="7" width="13.140625" bestFit="1" customWidth="1"/>
    <col min="8" max="8" width="13.85546875" customWidth="1"/>
    <col min="9" max="9" width="15.42578125" customWidth="1"/>
    <col min="10" max="10" width="12.7109375" customWidth="1"/>
    <col min="11" max="11" width="12" bestFit="1" customWidth="1"/>
    <col min="12" max="12" width="14.42578125" customWidth="1"/>
    <col min="13" max="13" width="11.85546875" style="50" customWidth="1"/>
    <col min="14" max="14" width="14" style="50" bestFit="1" customWidth="1"/>
    <col min="15" max="15" width="15.140625" style="50" customWidth="1"/>
    <col min="16" max="16" width="11.85546875" style="50" customWidth="1"/>
    <col min="17" max="17" width="10.85546875" style="50" customWidth="1"/>
    <col min="18" max="18" width="11.85546875" style="50" customWidth="1"/>
    <col min="19" max="19" width="9.85546875" style="50" customWidth="1"/>
    <col min="20" max="20" width="9.140625" style="50"/>
  </cols>
  <sheetData>
    <row r="2" spans="1:24" ht="54.75" customHeight="1" x14ac:dyDescent="0.2">
      <c r="A2" s="207" t="s">
        <v>36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49"/>
      <c r="N2" s="49"/>
      <c r="O2" s="49"/>
      <c r="P2" s="49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9"/>
      <c r="N3" s="49"/>
      <c r="O3" s="49"/>
      <c r="P3" s="49"/>
    </row>
    <row r="4" spans="1:24" x14ac:dyDescent="0.2">
      <c r="L4" s="2" t="s">
        <v>0</v>
      </c>
    </row>
    <row r="5" spans="1:24" ht="30" customHeight="1" x14ac:dyDescent="0.2">
      <c r="A5" s="203" t="s">
        <v>1</v>
      </c>
      <c r="B5" s="204" t="s">
        <v>20</v>
      </c>
      <c r="C5" s="205"/>
      <c r="D5" s="205"/>
      <c r="E5" s="206"/>
      <c r="F5" s="204" t="s">
        <v>2</v>
      </c>
      <c r="G5" s="205"/>
      <c r="H5" s="205"/>
      <c r="I5" s="206"/>
      <c r="J5" s="204" t="s">
        <v>3</v>
      </c>
      <c r="K5" s="205"/>
      <c r="L5" s="206"/>
      <c r="U5" s="66"/>
      <c r="V5" s="66"/>
      <c r="W5" s="66"/>
      <c r="X5" s="66"/>
    </row>
    <row r="6" spans="1:24" ht="26.25" customHeight="1" x14ac:dyDescent="0.2">
      <c r="A6" s="203"/>
      <c r="B6" s="48" t="s">
        <v>4</v>
      </c>
      <c r="C6" s="48" t="s">
        <v>5</v>
      </c>
      <c r="D6" s="48" t="s">
        <v>6</v>
      </c>
      <c r="E6" s="48" t="s">
        <v>21</v>
      </c>
      <c r="F6" s="48" t="s">
        <v>4</v>
      </c>
      <c r="G6" s="48" t="s">
        <v>5</v>
      </c>
      <c r="H6" s="48" t="s">
        <v>6</v>
      </c>
      <c r="I6" s="48" t="s">
        <v>7</v>
      </c>
      <c r="J6" s="48" t="s">
        <v>4</v>
      </c>
      <c r="K6" s="48" t="s">
        <v>5</v>
      </c>
      <c r="L6" s="48" t="s">
        <v>6</v>
      </c>
      <c r="U6" s="66"/>
      <c r="V6" s="66"/>
      <c r="W6" s="66"/>
      <c r="X6" s="66"/>
    </row>
    <row r="7" spans="1:24" x14ac:dyDescent="0.2">
      <c r="A7" s="45" t="s">
        <v>8</v>
      </c>
      <c r="B7" s="5">
        <f>C7+D7</f>
        <v>428.46300000000002</v>
      </c>
      <c r="C7" s="6"/>
      <c r="D7" s="6">
        <f>[1]апрель!$D7/1000</f>
        <v>428.46300000000002</v>
      </c>
      <c r="E7" s="6"/>
      <c r="F7" s="5">
        <f>G7+H7</f>
        <v>86167.803999999989</v>
      </c>
      <c r="G7" s="6">
        <f>[2]апрель!G52/1000</f>
        <v>533.20299999999997</v>
      </c>
      <c r="H7" s="6">
        <f>([2]апрель!F52+[2]апрель!E52)/1000</f>
        <v>85634.600999999995</v>
      </c>
      <c r="I7" s="6"/>
      <c r="J7" s="5">
        <f>K7+L7</f>
        <v>0</v>
      </c>
      <c r="K7" s="7">
        <f>[3]апрель!G62/1000</f>
        <v>0</v>
      </c>
      <c r="L7" s="7">
        <f>[3]апрель!F62/1000</f>
        <v>0</v>
      </c>
      <c r="O7" s="51"/>
      <c r="P7" s="51"/>
      <c r="U7" s="66"/>
      <c r="V7" s="66"/>
      <c r="W7" s="66"/>
      <c r="X7" s="66"/>
    </row>
    <row r="8" spans="1:24" x14ac:dyDescent="0.2">
      <c r="A8" s="45" t="s">
        <v>9</v>
      </c>
      <c r="B8" s="5">
        <f>C8+D8</f>
        <v>0</v>
      </c>
      <c r="C8" s="6"/>
      <c r="D8" s="6">
        <f>[1]апрель!$D8/1000</f>
        <v>0</v>
      </c>
      <c r="E8" s="6"/>
      <c r="F8" s="5">
        <f>G8+H8</f>
        <v>20435.879999999997</v>
      </c>
      <c r="G8" s="6">
        <f>[2]апрель!G53/1000</f>
        <v>347.62099999999998</v>
      </c>
      <c r="H8" s="6">
        <f>([2]апрель!F53+[2]апрель!E53)/1000</f>
        <v>20088.258999999998</v>
      </c>
      <c r="I8" s="6"/>
      <c r="J8" s="5">
        <f>K8+L8</f>
        <v>0</v>
      </c>
      <c r="K8" s="7">
        <f>[3]апрель!G63/1000</f>
        <v>0</v>
      </c>
      <c r="L8" s="7">
        <f>[3]апрель!F63/1000</f>
        <v>0</v>
      </c>
      <c r="O8" s="51"/>
      <c r="P8" s="51"/>
      <c r="U8" s="66"/>
      <c r="V8" s="66"/>
      <c r="W8" s="66"/>
      <c r="X8" s="66"/>
    </row>
    <row r="9" spans="1:24" x14ac:dyDescent="0.2">
      <c r="A9" s="45" t="s">
        <v>10</v>
      </c>
      <c r="B9" s="5">
        <f>C9+D9</f>
        <v>0</v>
      </c>
      <c r="C9" s="6"/>
      <c r="D9" s="6">
        <f>[1]апрель!$D9/1000</f>
        <v>0</v>
      </c>
      <c r="E9" s="6"/>
      <c r="F9" s="5">
        <f>G9+H9</f>
        <v>70871.414000000004</v>
      </c>
      <c r="G9" s="6">
        <f>[2]апрель!G54/1000</f>
        <v>10433.785</v>
      </c>
      <c r="H9" s="6">
        <f>([2]апрель!F54+[2]апрель!E54)/1000</f>
        <v>60437.629000000008</v>
      </c>
      <c r="I9" s="6"/>
      <c r="J9" s="5">
        <f>K9+L9</f>
        <v>636.89200000000005</v>
      </c>
      <c r="K9" s="7">
        <f>[3]апрель!G64/1000</f>
        <v>23.065000000000001</v>
      </c>
      <c r="L9" s="7">
        <f>[3]апрель!F64/1000</f>
        <v>613.827</v>
      </c>
      <c r="M9" s="52"/>
      <c r="N9" s="53"/>
      <c r="O9" s="51"/>
      <c r="P9" s="51"/>
      <c r="Q9" s="52"/>
      <c r="U9" s="66"/>
      <c r="V9" s="66"/>
      <c r="W9" s="66"/>
      <c r="X9" s="66"/>
    </row>
    <row r="10" spans="1:24" x14ac:dyDescent="0.2">
      <c r="A10" s="45" t="s">
        <v>11</v>
      </c>
      <c r="B10" s="5">
        <f>C10+D10</f>
        <v>0</v>
      </c>
      <c r="C10" s="6"/>
      <c r="D10" s="6">
        <f>[1]апрель!$D10/1000</f>
        <v>0</v>
      </c>
      <c r="E10" s="6"/>
      <c r="F10" s="5">
        <f>G10+H10</f>
        <v>190472.29099999997</v>
      </c>
      <c r="G10" s="6">
        <f>[2]апрель!G55/1000</f>
        <v>94491.762000000002</v>
      </c>
      <c r="H10" s="6">
        <f>([2]апрель!F55+[2]апрель!E55)/1000</f>
        <v>95980.52899999998</v>
      </c>
      <c r="I10" s="6"/>
      <c r="J10" s="5">
        <f>K10+L10</f>
        <v>1483.0990000000002</v>
      </c>
      <c r="K10" s="7">
        <f>[3]апрель!G65/1000</f>
        <v>1219.7380000000001</v>
      </c>
      <c r="L10" s="7">
        <f>[3]апрель!F65/1000</f>
        <v>263.36099999999999</v>
      </c>
      <c r="M10" s="52"/>
      <c r="N10" s="53" t="s">
        <v>33</v>
      </c>
      <c r="O10" s="54" t="s">
        <v>28</v>
      </c>
      <c r="Q10" s="52"/>
      <c r="U10" s="66"/>
      <c r="V10" s="66"/>
      <c r="W10" s="66"/>
      <c r="X10" s="66"/>
    </row>
    <row r="11" spans="1:24" x14ac:dyDescent="0.2">
      <c r="A11" s="45" t="s">
        <v>4</v>
      </c>
      <c r="B11" s="5">
        <f>C11+D11+E11</f>
        <v>428.84800000000001</v>
      </c>
      <c r="C11" s="9">
        <f>SUM(C7:C10)</f>
        <v>0</v>
      </c>
      <c r="D11" s="9">
        <f>SUM(D7:D10)</f>
        <v>428.46300000000002</v>
      </c>
      <c r="E11" s="9">
        <f>'[12]Акт наш вариант '!$E$18/1000</f>
        <v>0.38500000000000001</v>
      </c>
      <c r="F11" s="5">
        <f>G11+H11+I11</f>
        <v>467661.55999999994</v>
      </c>
      <c r="G11" s="9">
        <f>SUM(G7:G10)</f>
        <v>105806.371</v>
      </c>
      <c r="H11" s="9">
        <f>SUM(H7:H10)</f>
        <v>262141.01799999998</v>
      </c>
      <c r="I11" s="9">
        <f>('[13]справочно СВОД'!$C$1052+'[13]справочно СВОД'!$C$1088)/1000-E11</f>
        <v>99714.171000000002</v>
      </c>
      <c r="J11" s="5">
        <f>K11+L11</f>
        <v>2119.991</v>
      </c>
      <c r="K11" s="27">
        <f>SUM(K9:K10)</f>
        <v>1242.8030000000001</v>
      </c>
      <c r="L11" s="27">
        <f>SUM(L7:L10)</f>
        <v>877.18799999999999</v>
      </c>
      <c r="M11" s="52">
        <f>B11+F11+J11</f>
        <v>470210.39899999992</v>
      </c>
      <c r="N11" s="51">
        <f>G11+H11++D11+J11-[13]СВОД!$C$2380/1000</f>
        <v>370405.35199999996</v>
      </c>
      <c r="O11" s="55">
        <f>[13]СВОД!$C$15/1000</f>
        <v>378084.42200333305</v>
      </c>
      <c r="P11" s="56"/>
      <c r="U11" s="66"/>
      <c r="V11" s="66"/>
      <c r="W11" s="66"/>
      <c r="X11" s="66"/>
    </row>
    <row r="12" spans="1:24" x14ac:dyDescent="0.2">
      <c r="M12" s="52">
        <f>M11-N11-I11-E11</f>
        <v>90.490999999960181</v>
      </c>
      <c r="N12" s="56"/>
      <c r="O12" s="57">
        <f>O11-N11</f>
        <v>7679.0700033330941</v>
      </c>
      <c r="P12" s="50" t="s">
        <v>15</v>
      </c>
      <c r="U12" s="66"/>
      <c r="V12" s="66"/>
      <c r="W12" s="66"/>
      <c r="X12" s="66"/>
    </row>
    <row r="13" spans="1:24" x14ac:dyDescent="0.2">
      <c r="F13" s="12"/>
      <c r="G13" s="10"/>
      <c r="M13" s="52"/>
      <c r="N13" s="55"/>
      <c r="O13" s="58">
        <v>820.99900000000002</v>
      </c>
      <c r="P13" s="50" t="s">
        <v>37</v>
      </c>
      <c r="U13" s="66"/>
      <c r="V13" s="66"/>
      <c r="W13" s="66"/>
      <c r="X13" s="66"/>
    </row>
    <row r="14" spans="1:24" x14ac:dyDescent="0.2">
      <c r="N14" s="57"/>
      <c r="O14" s="58">
        <f>G21+F25</f>
        <v>243.42199999999113</v>
      </c>
      <c r="P14" s="50" t="s">
        <v>29</v>
      </c>
      <c r="U14" s="66"/>
      <c r="V14" s="66"/>
      <c r="W14" s="66"/>
      <c r="X14" s="66"/>
    </row>
    <row r="15" spans="1:24" x14ac:dyDescent="0.2">
      <c r="A15" s="43" t="s">
        <v>23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59"/>
      <c r="N15" s="58"/>
      <c r="O15" s="58">
        <f>[13]неотк!$C$11/1000</f>
        <v>836.21299999999997</v>
      </c>
      <c r="P15" s="50" t="s">
        <v>12</v>
      </c>
      <c r="U15" s="66"/>
      <c r="V15" s="66"/>
      <c r="W15" s="66"/>
      <c r="X15" s="66"/>
    </row>
    <row r="16" spans="1:24" ht="28.5" customHeight="1" x14ac:dyDescent="0.2">
      <c r="A16" s="208" t="s">
        <v>24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60"/>
      <c r="O16" s="58">
        <f>F24</f>
        <v>142.96</v>
      </c>
      <c r="P16" s="50" t="s">
        <v>32</v>
      </c>
      <c r="U16" s="66"/>
      <c r="V16" s="66"/>
      <c r="W16" s="66"/>
      <c r="X16" s="66"/>
    </row>
    <row r="17" spans="4:24" x14ac:dyDescent="0.2">
      <c r="N17" s="57"/>
      <c r="O17" s="58">
        <v>119.767</v>
      </c>
      <c r="P17" s="50" t="s">
        <v>40</v>
      </c>
      <c r="U17" s="66"/>
      <c r="V17" s="66"/>
      <c r="W17" s="66"/>
      <c r="X17" s="66"/>
    </row>
    <row r="18" spans="4:24" s="50" customFormat="1" x14ac:dyDescent="0.2">
      <c r="O18" s="57">
        <v>5595.6279999999997</v>
      </c>
      <c r="P18" s="50" t="s">
        <v>41</v>
      </c>
      <c r="U18" s="66"/>
      <c r="V18" s="66"/>
      <c r="W18" s="66"/>
      <c r="X18" s="66"/>
    </row>
    <row r="19" spans="4:24" s="50" customFormat="1" x14ac:dyDescent="0.2">
      <c r="O19" s="57">
        <f>O12-O13-O14-O15-O16-O17-O18</f>
        <v>-79.918996666896419</v>
      </c>
      <c r="U19" s="66"/>
      <c r="V19" s="66"/>
      <c r="W19" s="66"/>
      <c r="X19" s="66"/>
    </row>
    <row r="20" spans="4:24" s="50" customFormat="1" x14ac:dyDescent="0.2">
      <c r="G20" s="51">
        <f>([13]СВОД!$C$2092+[13]СВОД!$C$254+[13]СВОД!$C$263+[13]СВОД!$C$272)/1000</f>
        <v>107435.556</v>
      </c>
      <c r="U20" s="66"/>
      <c r="V20" s="66"/>
      <c r="W20" s="66"/>
      <c r="X20" s="66"/>
    </row>
    <row r="21" spans="4:24" s="50" customFormat="1" x14ac:dyDescent="0.2">
      <c r="G21" s="51">
        <f>213.916+29.188</f>
        <v>243.10399999999998</v>
      </c>
      <c r="U21" s="66"/>
      <c r="V21" s="66"/>
      <c r="W21" s="66"/>
      <c r="X21" s="66"/>
    </row>
    <row r="22" spans="4:24" s="50" customFormat="1" x14ac:dyDescent="0.2">
      <c r="F22" s="52">
        <f>G11+K11</f>
        <v>107049.174</v>
      </c>
      <c r="G22" s="51">
        <f>G20-G21</f>
        <v>107192.45199999999</v>
      </c>
      <c r="O22" s="57"/>
      <c r="P22" s="57"/>
      <c r="U22" s="66"/>
      <c r="V22" s="66"/>
      <c r="W22" s="66"/>
      <c r="X22" s="66"/>
    </row>
    <row r="23" spans="4:24" s="50" customFormat="1" x14ac:dyDescent="0.2">
      <c r="E23" s="63" t="s">
        <v>15</v>
      </c>
      <c r="F23" s="64">
        <f>G22-F22</f>
        <v>143.27799999999115</v>
      </c>
      <c r="N23" s="57"/>
      <c r="U23" s="66"/>
      <c r="V23" s="66"/>
      <c r="W23" s="66"/>
      <c r="X23" s="66"/>
    </row>
    <row r="24" spans="4:24" s="50" customFormat="1" x14ac:dyDescent="0.2">
      <c r="E24" s="50" t="s">
        <v>38</v>
      </c>
      <c r="F24" s="55">
        <f>[13]СВОД!$G$2549/1000</f>
        <v>142.96</v>
      </c>
      <c r="U24" s="66"/>
      <c r="V24" s="66"/>
      <c r="W24" s="66"/>
      <c r="X24" s="66"/>
    </row>
    <row r="25" spans="4:24" s="50" customFormat="1" x14ac:dyDescent="0.2">
      <c r="E25" s="50" t="s">
        <v>39</v>
      </c>
      <c r="F25" s="55">
        <f>F23-F24</f>
        <v>0.31799999999114448</v>
      </c>
      <c r="U25" s="66"/>
      <c r="V25" s="66"/>
      <c r="W25" s="66"/>
      <c r="X25" s="66"/>
    </row>
    <row r="26" spans="4:24" s="50" customFormat="1" x14ac:dyDescent="0.2">
      <c r="F26" s="55"/>
      <c r="U26" s="66"/>
      <c r="V26" s="66"/>
      <c r="W26" s="66"/>
      <c r="X26" s="66"/>
    </row>
    <row r="27" spans="4:24" s="50" customFormat="1" x14ac:dyDescent="0.2">
      <c r="W27" s="66"/>
      <c r="X27" s="66"/>
    </row>
    <row r="28" spans="4:24" s="50" customFormat="1" x14ac:dyDescent="0.2">
      <c r="D28" s="66"/>
      <c r="E28" s="66"/>
      <c r="F28" s="66"/>
      <c r="G28" s="66"/>
      <c r="H28" s="66"/>
      <c r="U28"/>
      <c r="V28"/>
    </row>
    <row r="31" spans="4:24" x14ac:dyDescent="0.2">
      <c r="F31" s="67"/>
    </row>
  </sheetData>
  <mergeCells count="6">
    <mergeCell ref="A16:L16"/>
    <mergeCell ref="A2:L2"/>
    <mergeCell ref="A5:A6"/>
    <mergeCell ref="B5:E5"/>
    <mergeCell ref="F5:I5"/>
    <mergeCell ref="J5:L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7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2:X31"/>
  <sheetViews>
    <sheetView view="pageBreakPreview" zoomScaleNormal="100" zoomScaleSheetLayoutView="100" workbookViewId="0">
      <selection activeCell="A16" sqref="A16:L16"/>
    </sheetView>
  </sheetViews>
  <sheetFormatPr defaultRowHeight="12.75" x14ac:dyDescent="0.2"/>
  <cols>
    <col min="1" max="1" width="14.5703125" customWidth="1"/>
    <col min="2" max="2" width="8.42578125" bestFit="1" customWidth="1"/>
    <col min="3" max="3" width="8.85546875" customWidth="1"/>
    <col min="4" max="4" width="13.7109375" customWidth="1"/>
    <col min="5" max="5" width="10" customWidth="1"/>
    <col min="6" max="6" width="14.5703125" customWidth="1"/>
    <col min="7" max="7" width="13.140625" bestFit="1" customWidth="1"/>
    <col min="8" max="8" width="13.85546875" customWidth="1"/>
    <col min="9" max="9" width="15.42578125" customWidth="1"/>
    <col min="10" max="10" width="12.7109375" customWidth="1"/>
    <col min="11" max="11" width="12" bestFit="1" customWidth="1"/>
    <col min="12" max="12" width="14.42578125" customWidth="1"/>
    <col min="13" max="13" width="11.85546875" style="50" customWidth="1"/>
    <col min="14" max="14" width="14" style="50" bestFit="1" customWidth="1"/>
    <col min="15" max="15" width="15.140625" style="50" customWidth="1"/>
    <col min="16" max="16" width="11.85546875" style="50" customWidth="1"/>
    <col min="17" max="17" width="10.85546875" style="50" customWidth="1"/>
    <col min="18" max="18" width="11.85546875" style="50" customWidth="1"/>
    <col min="19" max="19" width="9.85546875" style="50" customWidth="1"/>
    <col min="20" max="20" width="9.140625" style="50"/>
  </cols>
  <sheetData>
    <row r="2" spans="1:24" ht="54.75" customHeight="1" x14ac:dyDescent="0.2">
      <c r="A2" s="207" t="s">
        <v>42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49"/>
      <c r="N2" s="49"/>
      <c r="O2" s="49"/>
      <c r="P2" s="49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9"/>
      <c r="N3" s="49"/>
      <c r="O3" s="49"/>
      <c r="P3" s="49"/>
    </row>
    <row r="4" spans="1:24" x14ac:dyDescent="0.2">
      <c r="L4" s="2" t="s">
        <v>0</v>
      </c>
    </row>
    <row r="5" spans="1:24" ht="30" customHeight="1" x14ac:dyDescent="0.2">
      <c r="A5" s="203" t="s">
        <v>1</v>
      </c>
      <c r="B5" s="204" t="s">
        <v>20</v>
      </c>
      <c r="C5" s="205"/>
      <c r="D5" s="205"/>
      <c r="E5" s="206"/>
      <c r="F5" s="204" t="s">
        <v>2</v>
      </c>
      <c r="G5" s="205"/>
      <c r="H5" s="205"/>
      <c r="I5" s="206"/>
      <c r="J5" s="204" t="s">
        <v>3</v>
      </c>
      <c r="K5" s="205"/>
      <c r="L5" s="206"/>
      <c r="U5" s="66"/>
      <c r="V5" s="66"/>
      <c r="W5" s="66"/>
      <c r="X5" s="66"/>
    </row>
    <row r="6" spans="1:24" ht="26.25" customHeight="1" x14ac:dyDescent="0.2">
      <c r="A6" s="203"/>
      <c r="B6" s="65" t="s">
        <v>4</v>
      </c>
      <c r="C6" s="65" t="s">
        <v>5</v>
      </c>
      <c r="D6" s="65" t="s">
        <v>6</v>
      </c>
      <c r="E6" s="65" t="s">
        <v>21</v>
      </c>
      <c r="F6" s="65" t="s">
        <v>4</v>
      </c>
      <c r="G6" s="65" t="s">
        <v>5</v>
      </c>
      <c r="H6" s="65" t="s">
        <v>6</v>
      </c>
      <c r="I6" s="65" t="s">
        <v>7</v>
      </c>
      <c r="J6" s="65" t="s">
        <v>4</v>
      </c>
      <c r="K6" s="65" t="s">
        <v>5</v>
      </c>
      <c r="L6" s="65" t="s">
        <v>6</v>
      </c>
      <c r="U6" s="66"/>
      <c r="V6" s="66"/>
      <c r="W6" s="66"/>
      <c r="X6" s="66"/>
    </row>
    <row r="7" spans="1:24" x14ac:dyDescent="0.2">
      <c r="A7" s="45" t="s">
        <v>8</v>
      </c>
      <c r="B7" s="5">
        <f>C7+D7</f>
        <v>311.78800000000001</v>
      </c>
      <c r="C7" s="6"/>
      <c r="D7" s="6">
        <f>[1]май!$D7/1000</f>
        <v>311.78800000000001</v>
      </c>
      <c r="E7" s="6"/>
      <c r="F7" s="5">
        <f>G7+H7</f>
        <v>76529.678000000014</v>
      </c>
      <c r="G7" s="6">
        <f>[2]май!G52/1000</f>
        <v>337.67399999999998</v>
      </c>
      <c r="H7" s="6">
        <f>([2]май!F52+[2]май!E52)/1000</f>
        <v>76192.004000000015</v>
      </c>
      <c r="I7" s="6"/>
      <c r="J7" s="5">
        <f>K7+L7</f>
        <v>0</v>
      </c>
      <c r="K7" s="7">
        <f>[3]май!G62/1000</f>
        <v>0</v>
      </c>
      <c r="L7" s="7">
        <f>[3]май!F62/1000</f>
        <v>0</v>
      </c>
      <c r="O7" s="51"/>
      <c r="P7" s="51"/>
      <c r="U7" s="66"/>
      <c r="V7" s="66"/>
      <c r="W7" s="66"/>
      <c r="X7" s="66"/>
    </row>
    <row r="8" spans="1:24" x14ac:dyDescent="0.2">
      <c r="A8" s="45" t="s">
        <v>9</v>
      </c>
      <c r="B8" s="5">
        <f>C8+D8</f>
        <v>0</v>
      </c>
      <c r="C8" s="6"/>
      <c r="D8" s="6">
        <f>[1]май!$D8/1000</f>
        <v>0</v>
      </c>
      <c r="E8" s="6"/>
      <c r="F8" s="5">
        <f>G8+H8</f>
        <v>17931.671999999999</v>
      </c>
      <c r="G8" s="6">
        <f>[2]май!G53/1000</f>
        <v>202.01</v>
      </c>
      <c r="H8" s="6">
        <f>([2]май!F53+[2]май!E53)/1000</f>
        <v>17729.662</v>
      </c>
      <c r="I8" s="6"/>
      <c r="J8" s="5">
        <f>K8+L8</f>
        <v>0</v>
      </c>
      <c r="K8" s="7">
        <f>[3]май!G63/1000</f>
        <v>0</v>
      </c>
      <c r="L8" s="7">
        <f>[3]май!F63/1000</f>
        <v>0</v>
      </c>
      <c r="M8" s="66"/>
      <c r="N8" s="66"/>
      <c r="O8" s="78"/>
      <c r="P8" s="78"/>
      <c r="Q8" s="66"/>
      <c r="R8" s="66"/>
      <c r="S8" s="66"/>
      <c r="U8" s="66"/>
      <c r="V8" s="66"/>
      <c r="W8" s="66"/>
      <c r="X8" s="66"/>
    </row>
    <row r="9" spans="1:24" x14ac:dyDescent="0.2">
      <c r="A9" s="45" t="s">
        <v>10</v>
      </c>
      <c r="B9" s="5">
        <f>C9+D9</f>
        <v>0</v>
      </c>
      <c r="C9" s="6"/>
      <c r="D9" s="6">
        <f>[1]май!$D9/1000</f>
        <v>0</v>
      </c>
      <c r="E9" s="6"/>
      <c r="F9" s="5">
        <f>G9+H9</f>
        <v>61830.390000000007</v>
      </c>
      <c r="G9" s="6">
        <f>[2]май!G54/1000</f>
        <v>8916.4549999999999</v>
      </c>
      <c r="H9" s="6">
        <f>([2]май!F54+[2]май!E54)/1000</f>
        <v>52913.935000000005</v>
      </c>
      <c r="I9" s="6"/>
      <c r="J9" s="5">
        <f>K9+L9</f>
        <v>677.89199999999994</v>
      </c>
      <c r="K9" s="7">
        <f>[3]май!G64/1000</f>
        <v>18.837</v>
      </c>
      <c r="L9" s="7">
        <f>[3]май!F64/1000</f>
        <v>659.05499999999995</v>
      </c>
      <c r="M9" s="79"/>
      <c r="N9" s="80"/>
      <c r="O9" s="81"/>
      <c r="P9" s="81"/>
      <c r="Q9" s="82"/>
      <c r="R9" s="83"/>
      <c r="S9" s="66"/>
      <c r="U9" s="66"/>
      <c r="V9" s="66"/>
      <c r="W9" s="66"/>
      <c r="X9" s="66"/>
    </row>
    <row r="10" spans="1:24" x14ac:dyDescent="0.2">
      <c r="A10" s="45" t="s">
        <v>11</v>
      </c>
      <c r="B10" s="5">
        <f>C10+D10</f>
        <v>0</v>
      </c>
      <c r="C10" s="6"/>
      <c r="D10" s="6">
        <f>[1]май!$D10/1000</f>
        <v>0</v>
      </c>
      <c r="E10" s="6"/>
      <c r="F10" s="5">
        <f>G10+H10</f>
        <v>177061.921</v>
      </c>
      <c r="G10" s="6">
        <f>[2]май!G55/1000</f>
        <v>84873.698000000004</v>
      </c>
      <c r="H10" s="6">
        <f>([2]май!F55+[2]май!E55)/1000</f>
        <v>92188.222999999998</v>
      </c>
      <c r="I10" s="6"/>
      <c r="J10" s="5">
        <f>K10+L10</f>
        <v>1583.557</v>
      </c>
      <c r="K10" s="7">
        <f>[3]май!G65/1000</f>
        <v>1341.8</v>
      </c>
      <c r="L10" s="7">
        <f>[3]май!F65/1000</f>
        <v>241.75700000000001</v>
      </c>
      <c r="M10" s="79"/>
      <c r="N10" s="80" t="s">
        <v>33</v>
      </c>
      <c r="O10" s="84" t="s">
        <v>28</v>
      </c>
      <c r="P10" s="83"/>
      <c r="Q10" s="82"/>
      <c r="R10" s="83"/>
      <c r="S10" s="66"/>
      <c r="U10" s="66"/>
      <c r="V10" s="66"/>
      <c r="W10" s="66"/>
      <c r="X10" s="66"/>
    </row>
    <row r="11" spans="1:24" x14ac:dyDescent="0.2">
      <c r="A11" s="45" t="s">
        <v>4</v>
      </c>
      <c r="B11" s="5">
        <f>C11+D11+E11</f>
        <v>313.18900000000002</v>
      </c>
      <c r="C11" s="9">
        <f>SUM(C7:C10)</f>
        <v>0</v>
      </c>
      <c r="D11" s="9">
        <f>SUM(D7:D10)</f>
        <v>311.78800000000001</v>
      </c>
      <c r="E11" s="9">
        <f>'[14]Акт наш вариант '!$E$18/1000</f>
        <v>1.401</v>
      </c>
      <c r="F11" s="5">
        <f>G11+H11+I11</f>
        <v>409195.20700000005</v>
      </c>
      <c r="G11" s="9">
        <f>SUM(G7:G10)</f>
        <v>94329.837</v>
      </c>
      <c r="H11" s="9">
        <f>SUM(H7:H10)</f>
        <v>239023.82400000002</v>
      </c>
      <c r="I11" s="9">
        <f>('[15]справочно СВОД'!$C$1052+'[15]справочно СВОД'!$C$1088)/1000-E11</f>
        <v>75841.546000000002</v>
      </c>
      <c r="J11" s="5">
        <f>K11+L11</f>
        <v>2261.4489999999996</v>
      </c>
      <c r="K11" s="27">
        <f>SUM(K9:K10)</f>
        <v>1360.6369999999999</v>
      </c>
      <c r="L11" s="27">
        <f>SUM(L7:L10)</f>
        <v>900.8119999999999</v>
      </c>
      <c r="M11" s="79">
        <f>B11+F11+J11</f>
        <v>411769.84500000009</v>
      </c>
      <c r="N11" s="81">
        <f>G11+H11++D11+J11-[15]СВОД!$C$2380/1000</f>
        <v>335834.30200000003</v>
      </c>
      <c r="O11" s="85">
        <f>[15]СВОД!$C$15/1000</f>
        <v>343318.01199999999</v>
      </c>
      <c r="P11" s="86"/>
      <c r="Q11" s="83"/>
      <c r="R11" s="83"/>
      <c r="S11" s="66"/>
      <c r="U11" s="66"/>
      <c r="V11" s="66"/>
      <c r="W11" s="66"/>
      <c r="X11" s="66"/>
    </row>
    <row r="12" spans="1:24" x14ac:dyDescent="0.2">
      <c r="M12" s="79">
        <f>M11-N11-I11-E11</f>
        <v>92.596000000061238</v>
      </c>
      <c r="N12" s="86"/>
      <c r="O12" s="87">
        <f>O11-N11</f>
        <v>7483.7099999999627</v>
      </c>
      <c r="P12" s="83" t="s">
        <v>15</v>
      </c>
      <c r="Q12" s="83"/>
      <c r="R12" s="83"/>
      <c r="S12" s="66"/>
      <c r="U12" s="66"/>
      <c r="V12" s="66"/>
      <c r="W12" s="66"/>
      <c r="X12" s="66"/>
    </row>
    <row r="13" spans="1:24" x14ac:dyDescent="0.2">
      <c r="F13" s="12"/>
      <c r="G13" s="10"/>
      <c r="M13" s="79"/>
      <c r="N13" s="85"/>
      <c r="O13" s="88"/>
      <c r="P13" s="83"/>
      <c r="Q13" s="83"/>
      <c r="R13" s="83"/>
      <c r="S13" s="66"/>
      <c r="U13" s="66"/>
      <c r="V13" s="66"/>
      <c r="W13" s="66"/>
      <c r="X13" s="66"/>
    </row>
    <row r="14" spans="1:24" x14ac:dyDescent="0.2">
      <c r="M14" s="66"/>
      <c r="N14" s="87"/>
      <c r="O14" s="88">
        <f>G21+F25</f>
        <v>40.574496909999993</v>
      </c>
      <c r="P14" s="83" t="s">
        <v>29</v>
      </c>
      <c r="Q14" s="83"/>
      <c r="R14" s="83"/>
      <c r="S14" s="66"/>
      <c r="U14" s="66"/>
      <c r="V14" s="66"/>
      <c r="W14" s="66"/>
      <c r="X14" s="66"/>
    </row>
    <row r="15" spans="1:24" x14ac:dyDescent="0.2">
      <c r="A15" s="43" t="s">
        <v>23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89"/>
      <c r="N15" s="88"/>
      <c r="O15" s="88">
        <f>[15]неотк!$C$11/1000</f>
        <v>7519.3050000000003</v>
      </c>
      <c r="P15" s="83" t="s">
        <v>12</v>
      </c>
      <c r="Q15" s="83"/>
      <c r="R15" s="83"/>
      <c r="S15" s="66"/>
      <c r="U15" s="66"/>
      <c r="V15" s="66"/>
      <c r="W15" s="66"/>
      <c r="X15" s="66"/>
    </row>
    <row r="16" spans="1:24" ht="28.5" customHeight="1" x14ac:dyDescent="0.2">
      <c r="A16" s="208" t="s">
        <v>24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90"/>
      <c r="N16" s="83"/>
      <c r="O16" s="88">
        <f>F24</f>
        <v>139.32</v>
      </c>
      <c r="P16" s="83" t="s">
        <v>32</v>
      </c>
      <c r="Q16" s="83"/>
      <c r="R16" s="83"/>
      <c r="S16" s="66"/>
      <c r="U16" s="66"/>
      <c r="V16" s="66"/>
      <c r="W16" s="66"/>
      <c r="X16" s="66"/>
    </row>
    <row r="17" spans="4:24" x14ac:dyDescent="0.2">
      <c r="M17" s="66"/>
      <c r="N17" s="87"/>
      <c r="O17" s="88"/>
      <c r="P17" s="83"/>
      <c r="Q17" s="83"/>
      <c r="R17" s="83"/>
      <c r="S17" s="66"/>
      <c r="U17" s="66"/>
      <c r="V17" s="66"/>
      <c r="W17" s="66"/>
      <c r="X17" s="66"/>
    </row>
    <row r="18" spans="4:24" s="50" customFormat="1" x14ac:dyDescent="0.2">
      <c r="M18" s="66"/>
      <c r="N18" s="83"/>
      <c r="O18" s="87"/>
      <c r="P18" s="83"/>
      <c r="Q18" s="83"/>
      <c r="R18" s="83"/>
      <c r="S18" s="66"/>
      <c r="U18" s="66"/>
      <c r="V18" s="66"/>
      <c r="W18" s="66"/>
      <c r="X18" s="66"/>
    </row>
    <row r="19" spans="4:24" s="50" customFormat="1" x14ac:dyDescent="0.2">
      <c r="G19" s="66"/>
      <c r="M19" s="66"/>
      <c r="N19" s="66"/>
      <c r="O19" s="91">
        <f>O12-O13-O14-O15-O16-O17-O18</f>
        <v>-215.48949691003719</v>
      </c>
      <c r="P19" s="66"/>
      <c r="Q19" s="66"/>
      <c r="R19" s="66"/>
      <c r="S19" s="66"/>
      <c r="U19" s="66"/>
      <c r="V19" s="66"/>
      <c r="W19" s="66"/>
      <c r="X19" s="66"/>
    </row>
    <row r="20" spans="4:24" s="50" customFormat="1" x14ac:dyDescent="0.2">
      <c r="G20" s="78">
        <f>([15]СВОД!$C$2092+[15]СВОД!$C$254+[15]СВОД!$C$263+[15]СВОД!$C$272)/1000</f>
        <v>95870.36849691</v>
      </c>
      <c r="M20" s="66"/>
      <c r="N20" s="66"/>
      <c r="O20" s="66"/>
      <c r="P20" s="66"/>
      <c r="Q20" s="66"/>
      <c r="R20" s="66"/>
      <c r="S20" s="66"/>
      <c r="U20" s="66"/>
      <c r="V20" s="66"/>
      <c r="W20" s="66"/>
      <c r="X20" s="66"/>
    </row>
    <row r="21" spans="4:24" s="50" customFormat="1" x14ac:dyDescent="0.2">
      <c r="E21" s="66"/>
      <c r="F21" s="66"/>
      <c r="G21" s="78">
        <f>43.613</f>
        <v>43.613</v>
      </c>
      <c r="H21" s="66"/>
      <c r="M21" s="66"/>
      <c r="N21" s="66"/>
      <c r="O21" s="66"/>
      <c r="P21" s="66"/>
      <c r="Q21" s="66"/>
      <c r="R21" s="66"/>
      <c r="S21" s="66"/>
      <c r="U21" s="66"/>
      <c r="V21" s="66"/>
      <c r="W21" s="66"/>
      <c r="X21" s="66"/>
    </row>
    <row r="22" spans="4:24" s="50" customFormat="1" x14ac:dyDescent="0.2">
      <c r="E22" s="66"/>
      <c r="F22" s="79">
        <f>G11+K11</f>
        <v>95690.474000000002</v>
      </c>
      <c r="G22" s="78">
        <f>G20-G21</f>
        <v>95826.755496910002</v>
      </c>
      <c r="H22" s="66"/>
      <c r="M22" s="66"/>
      <c r="N22" s="66"/>
      <c r="O22" s="91"/>
      <c r="P22" s="91"/>
      <c r="Q22" s="66"/>
      <c r="R22" s="66"/>
      <c r="S22" s="66"/>
      <c r="U22" s="66"/>
      <c r="V22" s="66"/>
      <c r="W22" s="66"/>
      <c r="X22" s="66"/>
    </row>
    <row r="23" spans="4:24" s="50" customFormat="1" x14ac:dyDescent="0.2">
      <c r="E23" s="92" t="s">
        <v>15</v>
      </c>
      <c r="F23" s="93">
        <f>G22-F22</f>
        <v>136.28149690999999</v>
      </c>
      <c r="G23" s="66"/>
      <c r="H23" s="66"/>
      <c r="N23" s="57"/>
      <c r="U23" s="66"/>
      <c r="V23" s="66"/>
      <c r="W23" s="66"/>
      <c r="X23" s="66"/>
    </row>
    <row r="24" spans="4:24" s="50" customFormat="1" x14ac:dyDescent="0.2">
      <c r="E24" s="66" t="s">
        <v>38</v>
      </c>
      <c r="F24" s="94">
        <f>[15]СВОД!$G$2549/1000</f>
        <v>139.32</v>
      </c>
      <c r="G24" s="66"/>
      <c r="H24" s="66"/>
      <c r="U24" s="66"/>
      <c r="V24" s="66"/>
      <c r="W24" s="66"/>
      <c r="X24" s="66"/>
    </row>
    <row r="25" spans="4:24" s="50" customFormat="1" x14ac:dyDescent="0.2">
      <c r="E25" s="66" t="s">
        <v>39</v>
      </c>
      <c r="F25" s="94">
        <f>F23-F24</f>
        <v>-3.0385030900000061</v>
      </c>
      <c r="G25" s="66"/>
      <c r="H25" s="66"/>
      <c r="U25" s="66"/>
      <c r="V25" s="66"/>
      <c r="W25" s="66"/>
      <c r="X25" s="66"/>
    </row>
    <row r="26" spans="4:24" s="50" customFormat="1" x14ac:dyDescent="0.2">
      <c r="E26" s="66"/>
      <c r="F26" s="94"/>
      <c r="G26" s="66"/>
      <c r="H26" s="66"/>
      <c r="U26" s="66"/>
      <c r="V26" s="66"/>
      <c r="W26" s="66"/>
      <c r="X26" s="66"/>
    </row>
    <row r="27" spans="4:24" s="50" customFormat="1" x14ac:dyDescent="0.2">
      <c r="E27" s="66"/>
      <c r="F27" s="66"/>
      <c r="G27" s="66"/>
      <c r="H27" s="66"/>
      <c r="W27" s="66"/>
      <c r="X27" s="66"/>
    </row>
    <row r="28" spans="4:24" s="50" customFormat="1" x14ac:dyDescent="0.2">
      <c r="D28" s="66"/>
      <c r="E28" s="66"/>
      <c r="F28" s="66"/>
      <c r="G28" s="66"/>
      <c r="H28" s="66"/>
      <c r="U28"/>
      <c r="V28"/>
    </row>
    <row r="31" spans="4:24" x14ac:dyDescent="0.2">
      <c r="F31" s="67"/>
    </row>
  </sheetData>
  <mergeCells count="6">
    <mergeCell ref="A16:L16"/>
    <mergeCell ref="A2:L2"/>
    <mergeCell ref="A5:A6"/>
    <mergeCell ref="B5:E5"/>
    <mergeCell ref="F5:I5"/>
    <mergeCell ref="J5:L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7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9">
    <tabColor rgb="FFFFFF00"/>
    <pageSetUpPr fitToPage="1"/>
  </sheetPr>
  <dimension ref="A1:Z36"/>
  <sheetViews>
    <sheetView view="pageBreakPreview" zoomScaleNormal="100" zoomScaleSheetLayoutView="100" workbookViewId="0">
      <selection activeCell="Q8" sqref="Q8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3.710937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70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45</v>
      </c>
      <c r="D3" s="221"/>
      <c r="E3" s="221"/>
      <c r="F3" s="222"/>
      <c r="G3" s="220" t="s">
        <v>59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46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7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1193237.9819140001</v>
      </c>
      <c r="C6" s="105">
        <f t="shared" ref="C6:C11" si="0">D6+E6+F6</f>
        <v>11025.462000000001</v>
      </c>
      <c r="D6" s="106">
        <f>SUM(D7:D11)</f>
        <v>104.67700000000001</v>
      </c>
      <c r="E6" s="107">
        <f>SUM(E7:E11)</f>
        <v>10255.058000000001</v>
      </c>
      <c r="F6" s="107">
        <f>SUM(F7:F11)</f>
        <v>665.72699999999998</v>
      </c>
      <c r="G6" s="105">
        <f t="shared" ref="G6:G11" si="1">H6+I6+J6</f>
        <v>619063.51491400006</v>
      </c>
      <c r="H6" s="137">
        <f>SUM(H7:H11)</f>
        <v>188277.01575800002</v>
      </c>
      <c r="I6" s="107">
        <f>SUM(I7:I11)</f>
        <v>311545.899156</v>
      </c>
      <c r="J6" s="106">
        <f>SUM(J7:J11)</f>
        <v>119240.6</v>
      </c>
      <c r="K6" s="105">
        <f t="shared" ref="K6:K11" si="2">L6+M6+N6</f>
        <v>563149.005</v>
      </c>
      <c r="L6" s="123">
        <f>SUM(L7:L11)</f>
        <v>248508.967</v>
      </c>
      <c r="M6" s="109">
        <f>SUM(M7:M11)</f>
        <v>207164.77100000001</v>
      </c>
      <c r="N6" s="108">
        <f>SUM(N7:N11)</f>
        <v>107475.26699999999</v>
      </c>
      <c r="O6" s="146"/>
      <c r="P6" s="133">
        <f>C6+G6+K6</f>
        <v>1193237.9819140001</v>
      </c>
      <c r="Q6" s="134">
        <f>[16]СВОД!$C$11/1000</f>
        <v>1193237.9819140001</v>
      </c>
      <c r="R6" s="183">
        <f>P6-Q6</f>
        <v>0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>
        <f>'[17]Акт наш вариант '!$C$17</f>
        <v>0</v>
      </c>
      <c r="F7" s="157"/>
      <c r="G7" s="111">
        <f t="shared" si="1"/>
        <v>0</v>
      </c>
      <c r="H7" s="139">
        <f>([18]СВОД!$D$2147)/1000-L7-D7</f>
        <v>0</v>
      </c>
      <c r="I7" s="157">
        <f>([19]СВОД!$D$171+[19]СВОД!$D$18)/1000-M7-E7</f>
        <v>0</v>
      </c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>
        <f>'[20]Раздел III'!$F$27+'[20]Раздел III'!$F$28</f>
        <v>1193237.9819140001</v>
      </c>
      <c r="R7" s="185">
        <f>P6-Q7</f>
        <v>0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248303.46100000004</v>
      </c>
      <c r="C8" s="111">
        <f t="shared" si="0"/>
        <v>11024.113000000001</v>
      </c>
      <c r="D8" s="112">
        <f>[21]СВОД!$K$8284/1000+[21]СВОД!$K$8287/1000</f>
        <v>103.328</v>
      </c>
      <c r="E8" s="176">
        <f>[21]СВОД!$E$8281/1000+[21]СВОД!$E$8282/1000</f>
        <v>10255.058000000001</v>
      </c>
      <c r="F8" s="113">
        <f>'[16]справочно СВОД'!$C$8709/1000</f>
        <v>665.72699999999998</v>
      </c>
      <c r="G8" s="111">
        <f t="shared" si="1"/>
        <v>233996.89400000003</v>
      </c>
      <c r="H8" s="139">
        <f>([16]СВОД!$E$4564)/1000-L8-D8</f>
        <v>2820.8609999999994</v>
      </c>
      <c r="I8" s="113">
        <f>([16]СВОД!$E$4561+[16]СВОД!$E$4562)/1000-M8-E8</f>
        <v>118903.38800000001</v>
      </c>
      <c r="J8" s="162">
        <f>[16]СВОД!$E$1255/1000-N8-F8</f>
        <v>112272.645</v>
      </c>
      <c r="K8" s="111">
        <f t="shared" si="2"/>
        <v>3282.4539999999997</v>
      </c>
      <c r="L8" s="124">
        <f>[22]СВОД!$D$20/1000</f>
        <v>155.4</v>
      </c>
      <c r="M8" s="114">
        <f>([22]СВОД!$D$18+[22]СВОД!$D$19+[22]СВОД!$D$37+[22]СВОД!$D$128+[22]СВОД!$D$192)/1000</f>
        <v>2263.6289999999999</v>
      </c>
      <c r="N8" s="121">
        <f>'[16]справочно СВОД'!$E$8641/1000</f>
        <v>863.42499999999995</v>
      </c>
      <c r="O8" s="147"/>
      <c r="P8" s="131"/>
      <c r="Q8" s="184">
        <f>Q7-Q6</f>
        <v>0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28015.18</v>
      </c>
      <c r="C9" s="111">
        <f t="shared" si="0"/>
        <v>0</v>
      </c>
      <c r="D9" s="112"/>
      <c r="E9" s="176">
        <f>([24]СВОД!$F$8281+[24]СВОД!$F$8282)/1000</f>
        <v>0</v>
      </c>
      <c r="F9" s="113"/>
      <c r="G9" s="111">
        <f t="shared" si="1"/>
        <v>27378.309000000001</v>
      </c>
      <c r="H9" s="139">
        <f>([16]СВОД!$F$4564)/1000-L9-D9</f>
        <v>906.07399999999996</v>
      </c>
      <c r="I9" s="113">
        <f>([16]СВОД!$F$4561+[16]СВОД!$F$4562)/1000-M9-E9</f>
        <v>26235.493000000002</v>
      </c>
      <c r="J9" s="162">
        <f>[16]СВОД!$F$1255/1000-N9-F9</f>
        <v>236.74199999999999</v>
      </c>
      <c r="K9" s="111">
        <f t="shared" si="2"/>
        <v>636.87099999999998</v>
      </c>
      <c r="L9" s="124">
        <f>([25]СВОД!$E$15+[25]СВОД!$E$23+[25]СВОД!$E$49+[25]СВОД!$E$37)/1000</f>
        <v>0</v>
      </c>
      <c r="M9" s="114">
        <f>([22]СВОД!$E$18+[22]СВОД!$E$19+[22]СВОД!$E$37+[22]СВОД!$E$128+[22]СВОД!$E$192)/1000</f>
        <v>636.87099999999998</v>
      </c>
      <c r="N9" s="121">
        <f>'[26]справочно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318403.22485799994</v>
      </c>
      <c r="C10" s="111">
        <f t="shared" si="0"/>
        <v>0</v>
      </c>
      <c r="D10" s="112">
        <v>0</v>
      </c>
      <c r="E10" s="176">
        <f>[27]СВОД!$G$8282</f>
        <v>0</v>
      </c>
      <c r="F10" s="164"/>
      <c r="G10" s="111">
        <f t="shared" si="1"/>
        <v>144939.14985799996</v>
      </c>
      <c r="H10" s="139">
        <f>([16]СВОД!$G$4564)/1000-L10-D10</f>
        <v>16991.470101999992</v>
      </c>
      <c r="I10" s="113">
        <f>([16]СВОД!$G$4561+[16]СВОД!$G$4562)/1000-M10-E10</f>
        <v>124468.94475599998</v>
      </c>
      <c r="J10" s="162">
        <f>[16]СВОД!$G$1255/1000-N10-F10</f>
        <v>3478.7350000000001</v>
      </c>
      <c r="K10" s="111">
        <f t="shared" si="2"/>
        <v>173464.07500000001</v>
      </c>
      <c r="L10" s="124">
        <f>([22]СВОД!$F$20+[22]СВОД!$F$28+[22]СВОД!$F$129)/1000</f>
        <v>30778.620999999999</v>
      </c>
      <c r="M10" s="114">
        <f>([22]СВОД!$F$18+[22]СВОД!$F$19+[22]СВОД!$F$37+[22]СВОД!$F$128+[22]СВОД!$F$192)/1000</f>
        <v>140509.08499999999</v>
      </c>
      <c r="N10" s="121">
        <f>'[16]справочно СВОД'!$G$8641/1000</f>
        <v>2176.3690000000001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598516.116056</v>
      </c>
      <c r="C11" s="116">
        <f t="shared" si="0"/>
        <v>1.349</v>
      </c>
      <c r="D11" s="117">
        <f>[21]СВОД!$H$8290/1000+[21]СВОД!$H$8293/1000</f>
        <v>1.349</v>
      </c>
      <c r="E11" s="182">
        <f>[28]СВОД!$H$8282/1000</f>
        <v>0</v>
      </c>
      <c r="F11" s="163">
        <v>0</v>
      </c>
      <c r="G11" s="116">
        <f t="shared" si="1"/>
        <v>212749.16205600003</v>
      </c>
      <c r="H11" s="139">
        <f>([16]СВОД!$H$4564)/1000-L11-D11</f>
        <v>167558.61065600003</v>
      </c>
      <c r="I11" s="113">
        <f>([16]СВОД!$H$4561+[16]СВОД!$H$4562)/1000-M11-E11</f>
        <v>41938.073399999994</v>
      </c>
      <c r="J11" s="162">
        <f>[16]СВОД!$H$1255/1000-N11-F11</f>
        <v>3252.4780000000028</v>
      </c>
      <c r="K11" s="116">
        <f t="shared" si="2"/>
        <v>385765.60499999998</v>
      </c>
      <c r="L11" s="178">
        <f>([22]СВОД!$G$20+[22]СВОД!$G$28+[22]СВОД!$G$129)/1000</f>
        <v>217574.946</v>
      </c>
      <c r="M11" s="114">
        <f>([22]СВОД!$G$18+[22]СВОД!$G$19+[22]СВОД!$G$37+[22]СВОД!$G$128+[22]СВОД!$G$192)/1000</f>
        <v>63755.186000000002</v>
      </c>
      <c r="N11" s="122">
        <f>'[16]справочно СВОД'!$H$8641/1000</f>
        <v>104435.473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2386475.9638280002</v>
      </c>
      <c r="C12" s="186">
        <f>SUM(C6:C11)</f>
        <v>22050.924000000003</v>
      </c>
      <c r="D12" s="186">
        <f t="shared" si="3"/>
        <v>209.35399999999998</v>
      </c>
      <c r="E12" s="186">
        <f t="shared" si="3"/>
        <v>20510.116000000002</v>
      </c>
      <c r="F12" s="186">
        <f t="shared" si="3"/>
        <v>1331.454</v>
      </c>
      <c r="G12" s="186">
        <f>SUM(G6:G11)</f>
        <v>1238127.0298280001</v>
      </c>
      <c r="H12" s="186">
        <f>SUM(H6:H11)</f>
        <v>376554.03151600005</v>
      </c>
      <c r="I12" s="186">
        <f t="shared" si="3"/>
        <v>623091.798312</v>
      </c>
      <c r="J12" s="186">
        <f t="shared" si="3"/>
        <v>238481.19999999998</v>
      </c>
      <c r="K12" s="186">
        <f t="shared" si="3"/>
        <v>1126298.01</v>
      </c>
      <c r="L12" s="186">
        <f t="shared" si="3"/>
        <v>497017.93400000001</v>
      </c>
      <c r="M12" s="186">
        <f t="shared" si="3"/>
        <v>414329.54200000002</v>
      </c>
      <c r="N12" s="186">
        <f>SUM(N6:N11)</f>
        <v>214950.53399999999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[29]СВОД!$C$24/1000</f>
        <v>474414.34551749995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-23648.050874000066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'[33]Акт наш вариант '!$B$21/1000</f>
        <v>10359.735000000001</v>
      </c>
      <c r="D19" s="68" t="s">
        <v>56</v>
      </c>
      <c r="E19" s="149"/>
      <c r="F19" s="149"/>
      <c r="G19" s="125"/>
      <c r="H19" s="125"/>
      <c r="I19" s="125"/>
      <c r="J19" s="125"/>
      <c r="K19" s="175">
        <f>[22]СВОД!$C$9/1000-K6</f>
        <v>0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665.72700000000077</v>
      </c>
      <c r="D20" s="68"/>
      <c r="E20" s="149"/>
      <c r="F20" s="149"/>
      <c r="G20" s="125"/>
      <c r="H20" s="127"/>
      <c r="I20" s="127"/>
      <c r="J20" s="128"/>
      <c r="K20" s="175">
        <f>[22]СВОД!$C$37/1000</f>
        <v>153.65199999999999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10359.735000000001</v>
      </c>
      <c r="D21" s="172" t="s">
        <v>55</v>
      </c>
      <c r="E21" s="171">
        <f>[21]СВОД!$C$8280</f>
        <v>10359735</v>
      </c>
      <c r="F21" s="149"/>
      <c r="G21" s="125"/>
      <c r="H21" s="129"/>
      <c r="I21" s="129"/>
      <c r="J21" s="126"/>
      <c r="K21" s="174">
        <f>K19-K20</f>
        <v>-153.65199999999999</v>
      </c>
      <c r="L21" s="175"/>
      <c r="M21" s="175">
        <f>'[34]справочно СВОД'!$C$6448-'[35]справочно СВОД'!$C$6448</f>
        <v>3033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665.72700000000077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-153652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68"/>
      <c r="D24" s="68"/>
      <c r="E24" s="149"/>
      <c r="F24" s="156"/>
      <c r="G24" s="128"/>
      <c r="H24" s="129"/>
      <c r="I24" s="129"/>
      <c r="J24" s="125"/>
      <c r="K24" s="174">
        <f>K23+M21</f>
        <v>-150619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K4:K5"/>
    <mergeCell ref="L4:N4"/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6"/>
  <sheetViews>
    <sheetView view="pageBreakPreview" zoomScaleNormal="100" zoomScaleSheetLayoutView="100" workbookViewId="0">
      <selection activeCell="M21" sqref="M21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3.710937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72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73</v>
      </c>
      <c r="D3" s="221"/>
      <c r="E3" s="221"/>
      <c r="F3" s="222"/>
      <c r="G3" s="220" t="s">
        <v>59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74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7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1043986.6452439999</v>
      </c>
      <c r="C6" s="105">
        <f t="shared" ref="C6:C11" si="0">D6+E6+F6</f>
        <v>10603.717999999999</v>
      </c>
      <c r="D6" s="106">
        <f>SUM(D7:D11)</f>
        <v>87.035000000000011</v>
      </c>
      <c r="E6" s="107">
        <f>SUM(E7:E11)</f>
        <v>9966.726999999999</v>
      </c>
      <c r="F6" s="107">
        <f>SUM(F7:F11)</f>
        <v>549.95600000000002</v>
      </c>
      <c r="G6" s="105">
        <f t="shared" ref="G6:G11" si="1">H6+I6+J6</f>
        <v>550809.91024399991</v>
      </c>
      <c r="H6" s="137">
        <f>SUM(H7:H11)</f>
        <v>167916.91038899991</v>
      </c>
      <c r="I6" s="107">
        <f>SUM(I7:I11)</f>
        <v>283410.69285499997</v>
      </c>
      <c r="J6" s="106">
        <f>SUM(J7:J11)</f>
        <v>99482.307000000001</v>
      </c>
      <c r="K6" s="105">
        <f t="shared" ref="K6:K11" si="2">L6+M6+N6</f>
        <v>482573.01699999999</v>
      </c>
      <c r="L6" s="123">
        <f>SUM(L7:L11)</f>
        <v>221441.07199999999</v>
      </c>
      <c r="M6" s="109">
        <f>SUM(M7:M11)</f>
        <v>191421.17500000002</v>
      </c>
      <c r="N6" s="108">
        <f>SUM(N7:N11)</f>
        <v>69710.76999999999</v>
      </c>
      <c r="O6" s="146"/>
      <c r="P6" s="133">
        <f>C6+G6+K6</f>
        <v>1043986.6452439999</v>
      </c>
      <c r="Q6" s="134">
        <f>[36]СВОД!$C$11/1000</f>
        <v>1043986.645244</v>
      </c>
      <c r="R6" s="183">
        <f>P6-Q6</f>
        <v>0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>
        <f>'[17]Акт наш вариант '!$C$17</f>
        <v>0</v>
      </c>
      <c r="F7" s="157"/>
      <c r="G7" s="111">
        <f t="shared" si="1"/>
        <v>0</v>
      </c>
      <c r="H7" s="139">
        <f>([18]СВОД!$D$2147)/1000-L7-D7</f>
        <v>0</v>
      </c>
      <c r="I7" s="157">
        <f>([19]СВОД!$D$171+[19]СВОД!$D$18)/1000-M7-E7</f>
        <v>0</v>
      </c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>
        <f>'[37]Раздел III'!$F$27+'[37]Раздел III'!$F$28</f>
        <v>1043986.6452439999</v>
      </c>
      <c r="R7" s="185">
        <f>P6-Q7</f>
        <v>0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216187.30739999999</v>
      </c>
      <c r="C8" s="111">
        <f t="shared" si="0"/>
        <v>10602.368999999999</v>
      </c>
      <c r="D8" s="112">
        <f>[38]СВОД!$K$8284/1000+[38]СВОД!$K$8287/1000</f>
        <v>85.686000000000007</v>
      </c>
      <c r="E8" s="176">
        <f>[38]СВОД!$E$8281/1000+[38]СВОД!$E$8282/1000+1.113</f>
        <v>9966.726999999999</v>
      </c>
      <c r="F8" s="113">
        <f>'[36]справочно СВОД'!$C$8709/1000</f>
        <v>549.95600000000002</v>
      </c>
      <c r="G8" s="111">
        <f t="shared" si="1"/>
        <v>203099.6654</v>
      </c>
      <c r="H8" s="139">
        <f>([36]СВОД!$E$4564)/1000-L8-D8</f>
        <v>2607.3324000000002</v>
      </c>
      <c r="I8" s="113">
        <f>([36]СВОД!$E$4561+[36]СВОД!$E$4562)/1000-M8-E8</f>
        <v>105875.122</v>
      </c>
      <c r="J8" s="162">
        <f>[36]СВОД!$E$1255/1000-N8-F8</f>
        <v>94617.210999999996</v>
      </c>
      <c r="K8" s="111">
        <f t="shared" si="2"/>
        <v>2485.2730000000001</v>
      </c>
      <c r="L8" s="124">
        <f>[39]СВОД!$D$20/1000</f>
        <v>137.80000000000001</v>
      </c>
      <c r="M8" s="114">
        <f>([39]СВОД!$D$18+[39]СВОД!$D$19+[39]СВОД!$D$37+[39]СВОД!$D$128+[39]СВОД!$D$192)/1000</f>
        <v>1941.412</v>
      </c>
      <c r="N8" s="121">
        <f>'[36]справочно СВОД'!$E$8641/1000</f>
        <v>406.06099999999998</v>
      </c>
      <c r="O8" s="147"/>
      <c r="P8" s="131"/>
      <c r="Q8" s="184">
        <f>Q7-Q6</f>
        <v>0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25181.900999999998</v>
      </c>
      <c r="C9" s="111">
        <f t="shared" si="0"/>
        <v>0</v>
      </c>
      <c r="D9" s="112"/>
      <c r="E9" s="176">
        <f>([24]СВОД!$F$8281+[24]СВОД!$F$8282)/1000</f>
        <v>0</v>
      </c>
      <c r="F9" s="113"/>
      <c r="G9" s="111">
        <f t="shared" si="1"/>
        <v>24644.953999999998</v>
      </c>
      <c r="H9" s="139">
        <f>([36]СВОД!$F$4564)/1000-L9-D9</f>
        <v>786.33900000000006</v>
      </c>
      <c r="I9" s="113">
        <f>([36]СВОД!$F$4561+[36]СВОД!$F$4562)/1000-M9-E9</f>
        <v>23656.712</v>
      </c>
      <c r="J9" s="162">
        <f>[36]СВОД!$F$1255/1000-N9-F9</f>
        <v>201.90299999999999</v>
      </c>
      <c r="K9" s="111">
        <f t="shared" si="2"/>
        <v>536.947</v>
      </c>
      <c r="L9" s="124">
        <f>([25]СВОД!$E$15+[25]СВОД!$E$23+[25]СВОД!$E$49+[25]СВОД!$E$37)/1000</f>
        <v>0</v>
      </c>
      <c r="M9" s="114">
        <f>([39]СВОД!$E$18+[39]СВОД!$E$19+[39]СВОД!$E$37+[39]СВОД!$E$128+[39]СВОД!$E$192)/1000</f>
        <v>536.947</v>
      </c>
      <c r="N9" s="121">
        <f>'[26]справочно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294007.91817199998</v>
      </c>
      <c r="C10" s="111">
        <f t="shared" si="0"/>
        <v>0</v>
      </c>
      <c r="D10" s="112">
        <v>0</v>
      </c>
      <c r="E10" s="176">
        <f>[27]СВОД!$G$8282</f>
        <v>0</v>
      </c>
      <c r="F10" s="164"/>
      <c r="G10" s="111">
        <f t="shared" si="1"/>
        <v>134062.720172</v>
      </c>
      <c r="H10" s="139">
        <f>([36]СВОД!$G$4564)/1000-L10-D10</f>
        <v>15402.674162999996</v>
      </c>
      <c r="I10" s="113">
        <f>([36]СВОД!$G$4561+[36]СВОД!$G$4562)/1000-M10-E10</f>
        <v>116048.717009</v>
      </c>
      <c r="J10" s="162">
        <f>[36]СВОД!$G$1255/1000-N10-F10</f>
        <v>2611.3289999999997</v>
      </c>
      <c r="K10" s="111">
        <f t="shared" si="2"/>
        <v>159945.198</v>
      </c>
      <c r="L10" s="124">
        <f>([39]СВОД!$F$20+[39]СВОД!$F$28+[39]СВОД!$F$129)/1000</f>
        <v>27318.22</v>
      </c>
      <c r="M10" s="114">
        <f>([39]СВОД!$F$18+[39]СВОД!$F$19+[39]СВОД!$F$37+[39]СВОД!$F$128+[39]СВОД!$F$192)/1000</f>
        <v>130989.268</v>
      </c>
      <c r="N10" s="121">
        <f>'[36]справочно СВОД'!$G$8641/1000</f>
        <v>1637.71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508609.51867199992</v>
      </c>
      <c r="C11" s="116">
        <f t="shared" si="0"/>
        <v>1.349</v>
      </c>
      <c r="D11" s="117">
        <f>[38]СВОД!$H$8290/1000+[38]СВОД!$H$8293/1000</f>
        <v>1.349</v>
      </c>
      <c r="E11" s="182">
        <f>[28]СВОД!$H$8282/1000</f>
        <v>0</v>
      </c>
      <c r="F11" s="163">
        <v>0</v>
      </c>
      <c r="G11" s="116">
        <f t="shared" si="1"/>
        <v>189002.57067199991</v>
      </c>
      <c r="H11" s="139">
        <f>([36]СВОД!$H$4564)/1000-L11-D11</f>
        <v>149120.56482599993</v>
      </c>
      <c r="I11" s="113">
        <f>([36]СВОД!$H$4561+[36]СВОД!$H$4562)/1000-M11-E11</f>
        <v>37830.141845999991</v>
      </c>
      <c r="J11" s="162">
        <f>[36]СВОД!$H$1255/1000-N11-F11</f>
        <v>2051.8640000000014</v>
      </c>
      <c r="K11" s="116">
        <f t="shared" si="2"/>
        <v>319605.59899999999</v>
      </c>
      <c r="L11" s="178">
        <f>([39]СВОД!$G$20+[39]СВОД!$G$28+[39]СВОД!$G$129)/1000</f>
        <v>193985.052</v>
      </c>
      <c r="M11" s="114">
        <f>([39]СВОД!$G$18+[39]СВОД!$G$19+[39]СВОД!$G$37+[39]СВОД!$G$128+[39]СВОД!$G$192)/1000</f>
        <v>57953.548000000003</v>
      </c>
      <c r="N11" s="122">
        <f>'[36]справочно СВОД'!$H$8641/1000</f>
        <v>67666.998999999996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2087973.2904879998</v>
      </c>
      <c r="C12" s="186">
        <f>SUM(C6:C11)</f>
        <v>21207.435999999998</v>
      </c>
      <c r="D12" s="186">
        <f t="shared" si="3"/>
        <v>174.07</v>
      </c>
      <c r="E12" s="186">
        <f t="shared" si="3"/>
        <v>19933.453999999998</v>
      </c>
      <c r="F12" s="186">
        <f t="shared" si="3"/>
        <v>1099.912</v>
      </c>
      <c r="G12" s="186">
        <f>SUM(G6:G11)</f>
        <v>1101619.8204879998</v>
      </c>
      <c r="H12" s="186">
        <f>SUM(H6:H11)</f>
        <v>335833.82077799982</v>
      </c>
      <c r="I12" s="186">
        <f t="shared" si="3"/>
        <v>566821.38570999994</v>
      </c>
      <c r="J12" s="186">
        <f t="shared" si="3"/>
        <v>198964.61399999997</v>
      </c>
      <c r="K12" s="186">
        <f t="shared" si="3"/>
        <v>965146.03399999999</v>
      </c>
      <c r="L12" s="186">
        <f t="shared" si="3"/>
        <v>442882.14399999997</v>
      </c>
      <c r="M12" s="186">
        <f t="shared" si="3"/>
        <v>382842.35000000003</v>
      </c>
      <c r="N12" s="186">
        <f>SUM(N6:N11)</f>
        <v>139421.53999999998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[29]СВОД!$C$24/1000</f>
        <v>474414.34551749995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44605.55379600008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'[40]Акт наш вариант '!$B$21/1000</f>
        <v>10053.762000000001</v>
      </c>
      <c r="D19" s="68" t="s">
        <v>56</v>
      </c>
      <c r="E19" s="149"/>
      <c r="F19" s="149"/>
      <c r="G19" s="125"/>
      <c r="H19" s="125"/>
      <c r="I19" s="125"/>
      <c r="J19" s="125"/>
      <c r="K19" s="175">
        <f>[39]СВОД!$C$9/1000-K6</f>
        <v>0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549.95599999999831</v>
      </c>
      <c r="D20" s="68"/>
      <c r="E20" s="149"/>
      <c r="F20" s="149"/>
      <c r="G20" s="125"/>
      <c r="H20" s="127"/>
      <c r="I20" s="127"/>
      <c r="J20" s="128"/>
      <c r="K20" s="175">
        <f>[39]СВОД!$C$37/1000</f>
        <v>140.43199999999999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10053.761999999999</v>
      </c>
      <c r="D21" s="172" t="s">
        <v>55</v>
      </c>
      <c r="E21" s="171">
        <f>[38]СВОД!$C$8280</f>
        <v>10053762</v>
      </c>
      <c r="F21" s="149"/>
      <c r="G21" s="125"/>
      <c r="H21" s="129"/>
      <c r="I21" s="129"/>
      <c r="J21" s="126"/>
      <c r="K21" s="174">
        <f>K19-K20</f>
        <v>-140.43199999999999</v>
      </c>
      <c r="L21" s="175"/>
      <c r="M21" s="175">
        <f>'[34]справочно СВОД'!$C$6448-'[35]справочно СВОД'!$C$6448</f>
        <v>3033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549.95600000000013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-140432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181">
        <f>C20-C22</f>
        <v>-1.8189894035458565E-12</v>
      </c>
      <c r="D24" s="68"/>
      <c r="E24" s="149"/>
      <c r="F24" s="156"/>
      <c r="G24" s="128"/>
      <c r="H24" s="129"/>
      <c r="I24" s="129"/>
      <c r="J24" s="125"/>
      <c r="K24" s="174">
        <f>K23+M21</f>
        <v>-137399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K4:K5"/>
    <mergeCell ref="L4:N4"/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6"/>
  <sheetViews>
    <sheetView view="pageBreakPreview" zoomScaleNormal="100" zoomScaleSheetLayoutView="100" workbookViewId="0">
      <selection activeCell="G27" sqref="G27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3.710937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75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73</v>
      </c>
      <c r="D3" s="221"/>
      <c r="E3" s="221"/>
      <c r="F3" s="222"/>
      <c r="G3" s="220" t="s">
        <v>59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74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7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1154231.3466949998</v>
      </c>
      <c r="C6" s="105">
        <f t="shared" ref="C6:C11" si="0">D6+E6+F6</f>
        <v>12272.753999999999</v>
      </c>
      <c r="D6" s="106">
        <f>SUM(D7:D11)</f>
        <v>87.103999999999999</v>
      </c>
      <c r="E6" s="107">
        <f>SUM(E7:E11)</f>
        <v>11557.188</v>
      </c>
      <c r="F6" s="107">
        <f>SUM(F7:F11)</f>
        <v>628.46199999999999</v>
      </c>
      <c r="G6" s="105">
        <f t="shared" ref="G6:G11" si="1">H6+I6+J6</f>
        <v>615373.9746950001</v>
      </c>
      <c r="H6" s="137">
        <f>SUM(H7:H11)</f>
        <v>154167.17355300003</v>
      </c>
      <c r="I6" s="107">
        <f>SUM(I7:I11)</f>
        <v>297588.89314200002</v>
      </c>
      <c r="J6" s="106">
        <f>SUM(J7:J11)</f>
        <v>163617.908</v>
      </c>
      <c r="K6" s="105">
        <f t="shared" ref="K6:K11" si="2">L6+M6+N6</f>
        <v>526584.61800000002</v>
      </c>
      <c r="L6" s="123">
        <f>SUM(L7:L11)</f>
        <v>207885.446</v>
      </c>
      <c r="M6" s="109">
        <f>SUM(M7:M11)</f>
        <v>206633.59700000001</v>
      </c>
      <c r="N6" s="108">
        <f>SUM(N7:N11)</f>
        <v>112065.57500000001</v>
      </c>
      <c r="O6" s="146"/>
      <c r="P6" s="133">
        <f>C6+G6+K6</f>
        <v>1154231.3466950001</v>
      </c>
      <c r="Q6" s="134">
        <f>[41]СВОД!$C$11/1000</f>
        <v>1154231.3466950001</v>
      </c>
      <c r="R6" s="183">
        <f>P6-Q6</f>
        <v>0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>
        <f>'[17]Акт наш вариант '!$C$17</f>
        <v>0</v>
      </c>
      <c r="F7" s="157"/>
      <c r="G7" s="111">
        <f t="shared" si="1"/>
        <v>0</v>
      </c>
      <c r="H7" s="139">
        <f>([18]СВОД!$D$2147)/1000-L7-D7</f>
        <v>0</v>
      </c>
      <c r="I7" s="157">
        <f>([19]СВОД!$D$171+[19]СВОД!$D$18)/1000-M7-E7</f>
        <v>0</v>
      </c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>
        <f>'[42]Раздел III'!$F$27+'[42]Раздел III'!$F$28</f>
        <v>1154231.3466950001</v>
      </c>
      <c r="R7" s="185">
        <f>P6-Q7</f>
        <v>0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286614.53570099996</v>
      </c>
      <c r="C8" s="111">
        <f t="shared" si="0"/>
        <v>12271.245999999999</v>
      </c>
      <c r="D8" s="112">
        <f>[43]СВОД!$K$8284/1000+[43]СВОД!$K$8287/1000</f>
        <v>85.596000000000004</v>
      </c>
      <c r="E8" s="176">
        <f>[43]СВОД!$E$8281/1000+[43]СВОД!$E$8282/1000</f>
        <v>11557.188</v>
      </c>
      <c r="F8" s="113">
        <f>'[41]справочно СВОД'!$C$8709/1000</f>
        <v>628.46199999999999</v>
      </c>
      <c r="G8" s="111">
        <f t="shared" si="1"/>
        <v>271422.27270099998</v>
      </c>
      <c r="H8" s="139">
        <f>([41]СВОД!$E$4564)/1000-L8-D8</f>
        <v>2446.0767009999995</v>
      </c>
      <c r="I8" s="113">
        <f>([41]СВОД!$E$4561+[41]СВОД!$E$4562)/1000-M8-E8</f>
        <v>112952.87</v>
      </c>
      <c r="J8" s="162">
        <f>[41]СВОД!$E$1255/1000-N8-F8</f>
        <v>156023.326</v>
      </c>
      <c r="K8" s="111">
        <f t="shared" si="2"/>
        <v>2921.0169999999998</v>
      </c>
      <c r="L8" s="124">
        <f>[44]СВОД!$D$20/1000</f>
        <v>160.6</v>
      </c>
      <c r="M8" s="114">
        <f>([44]СВОД!$D$18+[44]СВОД!$D$19+[44]СВОД!$D$37+[44]СВОД!$D$128+[44]СВОД!$D$192)/1000</f>
        <v>1795.058</v>
      </c>
      <c r="N8" s="121">
        <f>'[41]справочно СВОД'!$E$8641/1000</f>
        <v>965.35900000000004</v>
      </c>
      <c r="O8" s="147"/>
      <c r="P8" s="131"/>
      <c r="Q8" s="184">
        <f>Q7-Q6</f>
        <v>0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27366.896000000001</v>
      </c>
      <c r="C9" s="111">
        <f t="shared" si="0"/>
        <v>0</v>
      </c>
      <c r="D9" s="112"/>
      <c r="E9" s="176">
        <f>([24]СВОД!$F$8281+[24]СВОД!$F$8282)/1000</f>
        <v>0</v>
      </c>
      <c r="F9" s="113"/>
      <c r="G9" s="111">
        <f t="shared" si="1"/>
        <v>26764.484</v>
      </c>
      <c r="H9" s="139">
        <f>([41]СВОД!$F$4564)/1000-L9-D9</f>
        <v>836.46400000000006</v>
      </c>
      <c r="I9" s="113">
        <f>([41]СВОД!$F$4561+[41]СВОД!$F$4562)/1000-M9-E9</f>
        <v>25670.696</v>
      </c>
      <c r="J9" s="162">
        <f>[41]СВОД!$F$1255/1000-N9-F9</f>
        <v>257.32400000000001</v>
      </c>
      <c r="K9" s="111">
        <f t="shared" si="2"/>
        <v>602.41200000000003</v>
      </c>
      <c r="L9" s="124">
        <f>([25]СВОД!$E$15+[25]СВОД!$E$23+[25]СВОД!$E$49+[25]СВОД!$E$37)/1000</f>
        <v>0</v>
      </c>
      <c r="M9" s="114">
        <f>([44]СВОД!$E$18+[44]СВОД!$E$19+[44]СВОД!$E$37+[44]СВОД!$E$128+[44]СВОД!$E$192)/1000</f>
        <v>602.41200000000003</v>
      </c>
      <c r="N9" s="121">
        <f>'[26]справочно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309376.71260600002</v>
      </c>
      <c r="C10" s="111">
        <f t="shared" si="0"/>
        <v>0</v>
      </c>
      <c r="D10" s="112">
        <v>0</v>
      </c>
      <c r="E10" s="176">
        <f>[27]СВОД!$G$8282</f>
        <v>0</v>
      </c>
      <c r="F10" s="164"/>
      <c r="G10" s="111">
        <f t="shared" si="1"/>
        <v>136764.238606</v>
      </c>
      <c r="H10" s="139">
        <f>([41]СВОД!$G$4564)/1000-L10-D10</f>
        <v>13737.389094999999</v>
      </c>
      <c r="I10" s="113">
        <f>([41]СВОД!$G$4561+[41]СВОД!$G$4562)/1000-M10-E10</f>
        <v>119789.32751100001</v>
      </c>
      <c r="J10" s="162">
        <f>[41]СВОД!$G$1255/1000-N10-F10</f>
        <v>3237.5219999999999</v>
      </c>
      <c r="K10" s="111">
        <f t="shared" si="2"/>
        <v>172612.47400000002</v>
      </c>
      <c r="L10" s="124">
        <f>([44]СВОД!$F$20+[44]СВОД!$F$28+[44]СВОД!$F$129)/1000</f>
        <v>26785.578000000001</v>
      </c>
      <c r="M10" s="114">
        <f>([44]СВОД!$F$18+[44]СВОД!$F$19+[44]СВОД!$F$37+[44]СВОД!$F$128+[44]СВОД!$F$192)/1000</f>
        <v>143398.579</v>
      </c>
      <c r="N10" s="121">
        <f>'[41]справочно СВОД'!$G$8641/1000</f>
        <v>2428.317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530873.20238799998</v>
      </c>
      <c r="C11" s="116">
        <f t="shared" si="0"/>
        <v>1.508</v>
      </c>
      <c r="D11" s="117">
        <f>[43]СВОД!$H$8290/1000+[43]СВОД!$H$8293/1000</f>
        <v>1.508</v>
      </c>
      <c r="E11" s="182">
        <f>[28]СВОД!$H$8282/1000</f>
        <v>0</v>
      </c>
      <c r="F11" s="163">
        <v>0</v>
      </c>
      <c r="G11" s="116">
        <f t="shared" si="1"/>
        <v>180422.97938799998</v>
      </c>
      <c r="H11" s="139">
        <f>([41]СВОД!$H$4564)/1000-L11-D11</f>
        <v>137147.24375700002</v>
      </c>
      <c r="I11" s="113">
        <f>([41]СВОД!$H$4561+[41]СВОД!$H$4562)/1000-M11-E11</f>
        <v>39175.999630999991</v>
      </c>
      <c r="J11" s="162">
        <f>[41]СВОД!$H$1255/1000-N11-F11</f>
        <v>4099.7359999999899</v>
      </c>
      <c r="K11" s="116">
        <f t="shared" si="2"/>
        <v>350448.71500000003</v>
      </c>
      <c r="L11" s="178">
        <f>([44]СВОД!$G$20+[44]СВОД!$G$28+[44]СВОД!$G$129)/1000</f>
        <v>180939.26800000001</v>
      </c>
      <c r="M11" s="114">
        <f>([44]СВОД!$G$18+[44]СВОД!$G$19+[44]СВОД!$G$37+[44]СВОД!$G$128+[44]СВОД!$G$192)/1000</f>
        <v>60837.548000000003</v>
      </c>
      <c r="N11" s="122">
        <f>'[41]справочно СВОД'!$H$8641/1000</f>
        <v>108671.899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2308462.6933899997</v>
      </c>
      <c r="C12" s="186">
        <f>SUM(C6:C11)</f>
        <v>24545.508000000002</v>
      </c>
      <c r="D12" s="186">
        <f t="shared" si="3"/>
        <v>174.208</v>
      </c>
      <c r="E12" s="186">
        <f t="shared" si="3"/>
        <v>23114.376</v>
      </c>
      <c r="F12" s="186">
        <f t="shared" si="3"/>
        <v>1256.924</v>
      </c>
      <c r="G12" s="186">
        <f>SUM(G6:G11)</f>
        <v>1230747.9493900002</v>
      </c>
      <c r="H12" s="186">
        <f>SUM(H6:H11)</f>
        <v>308334.34710600006</v>
      </c>
      <c r="I12" s="186">
        <f t="shared" si="3"/>
        <v>595177.78628400003</v>
      </c>
      <c r="J12" s="186">
        <f t="shared" si="3"/>
        <v>327235.81599999999</v>
      </c>
      <c r="K12" s="186">
        <f t="shared" si="3"/>
        <v>1053169.236</v>
      </c>
      <c r="L12" s="186">
        <f t="shared" si="3"/>
        <v>415770.89199999999</v>
      </c>
      <c r="M12" s="186">
        <f t="shared" si="3"/>
        <v>413267.19400000002</v>
      </c>
      <c r="N12" s="186">
        <f>SUM(N6:N11)</f>
        <v>224131.15000000002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[43]СВОД!$C$24/1000</f>
        <v>448396.102587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-19958.510655000107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'[45]Акт наш вариант '!$B$21/1000</f>
        <v>11644.291999999999</v>
      </c>
      <c r="D19" s="68" t="s">
        <v>56</v>
      </c>
      <c r="E19" s="149"/>
      <c r="F19" s="149"/>
      <c r="G19" s="125"/>
      <c r="H19" s="125"/>
      <c r="I19" s="125"/>
      <c r="J19" s="125"/>
      <c r="K19" s="175">
        <f>[44]СВОД!$C$9/1000-K6</f>
        <v>-0.41200000001117587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628.46199999999953</v>
      </c>
      <c r="D20" s="68"/>
      <c r="E20" s="149"/>
      <c r="F20" s="149"/>
      <c r="G20" s="125"/>
      <c r="H20" s="127"/>
      <c r="I20" s="127"/>
      <c r="J20" s="128"/>
      <c r="K20" s="175">
        <f>[44]СВОД!$C$37/1000</f>
        <v>137.98500000000001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11644.291999999999</v>
      </c>
      <c r="D21" s="172" t="s">
        <v>55</v>
      </c>
      <c r="E21" s="171">
        <f>[43]СВОД!$C$8280</f>
        <v>11644292</v>
      </c>
      <c r="F21" s="149"/>
      <c r="G21" s="125"/>
      <c r="H21" s="129"/>
      <c r="I21" s="129"/>
      <c r="J21" s="126"/>
      <c r="K21" s="174">
        <f>K19-K20</f>
        <v>-138.39700000001119</v>
      </c>
      <c r="L21" s="175"/>
      <c r="M21" s="175">
        <f>'[41]справочно СВОД'!$C$8641-'[46]справочно СВОД'!$C$8641</f>
        <v>412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628.46199999999953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-138397.00000001118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181">
        <f>C20-C22</f>
        <v>0</v>
      </c>
      <c r="D24" s="68"/>
      <c r="E24" s="149"/>
      <c r="F24" s="156"/>
      <c r="G24" s="128"/>
      <c r="H24" s="129"/>
      <c r="I24" s="129"/>
      <c r="J24" s="125"/>
      <c r="K24" s="174">
        <f>K23+M21</f>
        <v>-137985.00000001118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  <mergeCell ref="K4:K5"/>
    <mergeCell ref="L4:N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6"/>
  <sheetViews>
    <sheetView view="pageBreakPreview" zoomScaleNormal="100" zoomScaleSheetLayoutView="100" workbookViewId="0">
      <selection activeCell="B6" sqref="B6:N11"/>
    </sheetView>
  </sheetViews>
  <sheetFormatPr defaultRowHeight="12.75" x14ac:dyDescent="0.2"/>
  <cols>
    <col min="1" max="1" width="11.42578125" customWidth="1"/>
    <col min="2" max="2" width="15.5703125" customWidth="1"/>
    <col min="3" max="3" width="16.28515625" customWidth="1"/>
    <col min="4" max="4" width="14.42578125" customWidth="1"/>
    <col min="5" max="5" width="13.7109375" customWidth="1"/>
    <col min="6" max="6" width="12.42578125" customWidth="1"/>
    <col min="7" max="7" width="15.7109375" customWidth="1"/>
    <col min="8" max="8" width="15.140625" customWidth="1"/>
    <col min="9" max="9" width="13.7109375" customWidth="1"/>
    <col min="10" max="10" width="13.85546875" customWidth="1"/>
    <col min="11" max="11" width="15.42578125" customWidth="1"/>
    <col min="12" max="12" width="14.42578125" customWidth="1"/>
    <col min="13" max="13" width="13.7109375" customWidth="1"/>
    <col min="14" max="14" width="13.5703125" customWidth="1"/>
    <col min="15" max="15" width="13.7109375" customWidth="1"/>
    <col min="16" max="16" width="13.5703125" style="141" bestFit="1" customWidth="1"/>
    <col min="17" max="17" width="19.140625" style="141" customWidth="1"/>
    <col min="18" max="18" width="18.85546875" style="141" customWidth="1"/>
    <col min="19" max="19" width="10.85546875" style="50" customWidth="1"/>
    <col min="20" max="20" width="11.85546875" style="50" customWidth="1"/>
    <col min="21" max="21" width="9.85546875" style="50" customWidth="1"/>
    <col min="22" max="22" width="9.140625" style="50"/>
  </cols>
  <sheetData>
    <row r="1" spans="1:26" ht="54.75" customHeight="1" x14ac:dyDescent="0.2">
      <c r="A1" s="207" t="s">
        <v>76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5"/>
      <c r="P1" s="140"/>
      <c r="Q1" s="140"/>
      <c r="R1" s="140"/>
    </row>
    <row r="2" spans="1:26" ht="13.5" thickBot="1" x14ac:dyDescent="0.25">
      <c r="M2" s="99" t="s">
        <v>0</v>
      </c>
      <c r="O2" s="99"/>
    </row>
    <row r="3" spans="1:26" ht="30" customHeight="1" thickBot="1" x14ac:dyDescent="0.25">
      <c r="A3" s="214" t="s">
        <v>1</v>
      </c>
      <c r="B3" s="217" t="s">
        <v>60</v>
      </c>
      <c r="C3" s="220" t="s">
        <v>73</v>
      </c>
      <c r="D3" s="221"/>
      <c r="E3" s="221"/>
      <c r="F3" s="222"/>
      <c r="G3" s="220" t="s">
        <v>59</v>
      </c>
      <c r="H3" s="221"/>
      <c r="I3" s="221"/>
      <c r="J3" s="222"/>
      <c r="K3" s="220" t="s">
        <v>63</v>
      </c>
      <c r="L3" s="221"/>
      <c r="M3" s="221"/>
      <c r="N3" s="222"/>
      <c r="O3" s="143"/>
      <c r="P3" s="131"/>
      <c r="Q3" s="131"/>
      <c r="R3" s="131"/>
      <c r="S3" s="68"/>
      <c r="W3" s="66"/>
      <c r="X3" s="66"/>
      <c r="Y3" s="66"/>
      <c r="Z3" s="66"/>
    </row>
    <row r="4" spans="1:26" ht="13.5" thickBot="1" x14ac:dyDescent="0.25">
      <c r="A4" s="215"/>
      <c r="B4" s="218"/>
      <c r="C4" s="217" t="s">
        <v>74</v>
      </c>
      <c r="D4" s="223" t="s">
        <v>47</v>
      </c>
      <c r="E4" s="223"/>
      <c r="F4" s="224"/>
      <c r="G4" s="225" t="s">
        <v>61</v>
      </c>
      <c r="H4" s="211" t="s">
        <v>47</v>
      </c>
      <c r="I4" s="211"/>
      <c r="J4" s="212"/>
      <c r="K4" s="209" t="s">
        <v>64</v>
      </c>
      <c r="L4" s="210" t="s">
        <v>47</v>
      </c>
      <c r="M4" s="211"/>
      <c r="N4" s="212"/>
      <c r="O4" s="144"/>
      <c r="P4" s="131"/>
      <c r="Q4" s="131"/>
      <c r="R4" s="131"/>
      <c r="S4" s="68"/>
      <c r="W4" s="66"/>
      <c r="X4" s="66"/>
      <c r="Y4" s="66"/>
      <c r="Z4" s="66"/>
    </row>
    <row r="5" spans="1:26" ht="69.75" customHeight="1" thickBot="1" x14ac:dyDescent="0.25">
      <c r="A5" s="216"/>
      <c r="B5" s="219"/>
      <c r="C5" s="219"/>
      <c r="D5" s="97" t="s">
        <v>43</v>
      </c>
      <c r="E5" s="96" t="s">
        <v>44</v>
      </c>
      <c r="F5" s="173" t="s">
        <v>71</v>
      </c>
      <c r="G5" s="226"/>
      <c r="H5" s="97" t="s">
        <v>43</v>
      </c>
      <c r="I5" s="96" t="s">
        <v>44</v>
      </c>
      <c r="J5" s="98" t="s">
        <v>7</v>
      </c>
      <c r="K5" s="209"/>
      <c r="L5" s="100" t="s">
        <v>43</v>
      </c>
      <c r="M5" s="104" t="s">
        <v>44</v>
      </c>
      <c r="N5" s="98" t="s">
        <v>48</v>
      </c>
      <c r="O5" s="145"/>
      <c r="P5" s="131"/>
      <c r="Q5" s="132" t="s">
        <v>28</v>
      </c>
      <c r="R5" s="131" t="s">
        <v>50</v>
      </c>
      <c r="S5" s="68"/>
      <c r="W5" s="66"/>
      <c r="X5" s="66"/>
      <c r="Y5" s="66"/>
      <c r="Z5" s="66"/>
    </row>
    <row r="6" spans="1:26" x14ac:dyDescent="0.2">
      <c r="A6" s="101" t="s">
        <v>4</v>
      </c>
      <c r="B6" s="110">
        <f>SUM(B7:B11)</f>
        <v>937472.39739899989</v>
      </c>
      <c r="C6" s="105">
        <f t="shared" ref="C6:C11" si="0">D6+E6+F6</f>
        <v>9991.0420000000013</v>
      </c>
      <c r="D6" s="106">
        <f>SUM(D7:D11)</f>
        <v>58.128</v>
      </c>
      <c r="E6" s="107">
        <f>SUM(E7:E11)</f>
        <v>9356.357</v>
      </c>
      <c r="F6" s="107">
        <f>SUM(F7:F11)</f>
        <v>576.55700000000002</v>
      </c>
      <c r="G6" s="105">
        <f t="shared" ref="G6:G11" si="1">H6+I6+J6</f>
        <v>491228.15639899985</v>
      </c>
      <c r="H6" s="137">
        <f>SUM(H7:H11)</f>
        <v>164102.35597799989</v>
      </c>
      <c r="I6" s="107">
        <f>SUM(I7:I11)</f>
        <v>253297.15442100001</v>
      </c>
      <c r="J6" s="106">
        <f>SUM(J7:J11)</f>
        <v>73828.645999999979</v>
      </c>
      <c r="K6" s="105">
        <f t="shared" ref="K6:K11" si="2">L6+M6+N6</f>
        <v>436253.19900000002</v>
      </c>
      <c r="L6" s="123">
        <f>SUM(L7:L11)</f>
        <v>213060.12800000003</v>
      </c>
      <c r="M6" s="109">
        <f>SUM(M7:M11)</f>
        <v>167069.777</v>
      </c>
      <c r="N6" s="108">
        <f>SUM(N7:N11)</f>
        <v>56123.294000000002</v>
      </c>
      <c r="O6" s="146"/>
      <c r="P6" s="133">
        <f>C6+G6+K6</f>
        <v>937472.39739899989</v>
      </c>
      <c r="Q6" s="134">
        <f>[47]СВОД!$C$11/1000</f>
        <v>937472.39779900003</v>
      </c>
      <c r="R6" s="183">
        <f>P6-Q6</f>
        <v>-4.0000013541430235E-4</v>
      </c>
      <c r="S6" s="138"/>
      <c r="T6" s="83"/>
      <c r="U6" s="66"/>
      <c r="W6" s="66"/>
      <c r="X6" s="66"/>
      <c r="Y6" s="66"/>
      <c r="Z6" s="66"/>
    </row>
    <row r="7" spans="1:26" x14ac:dyDescent="0.2">
      <c r="A7" s="102" t="s">
        <v>49</v>
      </c>
      <c r="B7" s="110">
        <f>C7+G7+K7</f>
        <v>0</v>
      </c>
      <c r="C7" s="111">
        <f t="shared" si="0"/>
        <v>0</v>
      </c>
      <c r="D7" s="158"/>
      <c r="E7" s="177"/>
      <c r="F7" s="157"/>
      <c r="G7" s="111">
        <f t="shared" si="1"/>
        <v>0</v>
      </c>
      <c r="H7" s="139"/>
      <c r="I7" s="157"/>
      <c r="J7" s="162">
        <f>[18]СВОД!$D$3358/1000-N7-F7</f>
        <v>0</v>
      </c>
      <c r="K7" s="111">
        <f t="shared" si="2"/>
        <v>0</v>
      </c>
      <c r="L7" s="159"/>
      <c r="M7" s="160"/>
      <c r="N7" s="161"/>
      <c r="O7" s="146"/>
      <c r="P7" s="133"/>
      <c r="Q7" s="134">
        <f>'[48]Раздел III'!$F$27+'[48]Раздел III'!$F$28</f>
        <v>937472.39739899989</v>
      </c>
      <c r="R7" s="185">
        <f>P6-Q7</f>
        <v>0</v>
      </c>
      <c r="S7" s="138"/>
      <c r="T7" s="83"/>
      <c r="U7" s="66"/>
      <c r="W7" s="66"/>
      <c r="X7" s="66"/>
      <c r="Y7" s="66"/>
      <c r="Z7" s="66"/>
    </row>
    <row r="8" spans="1:26" x14ac:dyDescent="0.2">
      <c r="A8" s="102" t="s">
        <v>8</v>
      </c>
      <c r="B8" s="110">
        <f>C8+G8+K8</f>
        <v>179505.95060899999</v>
      </c>
      <c r="C8" s="111">
        <f t="shared" si="0"/>
        <v>9989.7180000000008</v>
      </c>
      <c r="D8" s="112">
        <f>[49]СВОД!$K$8284/1000+[49]СВОД!$K$8287/1000</f>
        <v>56.804000000000002</v>
      </c>
      <c r="E8" s="176">
        <f>[49]СВОД!$E$8281/1000+[49]СВОД!$E$8282/1000</f>
        <v>9356.357</v>
      </c>
      <c r="F8" s="113">
        <f>'[47]справочно СВОД'!$C$8709/1000</f>
        <v>576.55700000000002</v>
      </c>
      <c r="G8" s="111">
        <f t="shared" si="1"/>
        <v>168000.99160899999</v>
      </c>
      <c r="H8" s="139">
        <f>([47]СВОД!$E$4564)/1000-L8-D8</f>
        <v>2391.9056089999999</v>
      </c>
      <c r="I8" s="113">
        <f>([47]СВОД!$E$4561+[47]СВОД!$E$4562)/1000-M8-E8</f>
        <v>97057.491999999998</v>
      </c>
      <c r="J8" s="162">
        <f>[47]СВОД!$E$1255/1000-N8-F8</f>
        <v>68551.593999999997</v>
      </c>
      <c r="K8" s="111">
        <f t="shared" si="2"/>
        <v>1515.2410000000002</v>
      </c>
      <c r="L8" s="124">
        <f>[50]СВОД!$D$20/1000</f>
        <v>111.2</v>
      </c>
      <c r="M8" s="114">
        <f>([50]СВОД!$D$18+[50]СВОД!$D$19+[50]СВОД!$D$37+[50]СВОД!$D$128+[50]СВОД!$D$192)/1000</f>
        <v>1217.6990000000001</v>
      </c>
      <c r="N8" s="121">
        <f>'[47]справочно СВОД'!$E$8641/1000</f>
        <v>186.34200000000001</v>
      </c>
      <c r="O8" s="147"/>
      <c r="P8" s="131"/>
      <c r="Q8" s="184">
        <f>Q7-Q6</f>
        <v>-4.0000013541430235E-4</v>
      </c>
      <c r="R8" s="188">
        <f>'[23]нераспред ОДН чист+ перер 2020'!$G$3/1000</f>
        <v>0</v>
      </c>
      <c r="S8" s="70"/>
      <c r="W8" s="66"/>
      <c r="X8" s="66"/>
      <c r="Y8" s="66"/>
      <c r="Z8" s="66"/>
    </row>
    <row r="9" spans="1:26" x14ac:dyDescent="0.2">
      <c r="A9" s="102" t="s">
        <v>9</v>
      </c>
      <c r="B9" s="110">
        <f>C9+G9+K9</f>
        <v>25064.484000000004</v>
      </c>
      <c r="C9" s="111">
        <f t="shared" si="0"/>
        <v>0</v>
      </c>
      <c r="D9" s="112"/>
      <c r="E9" s="176">
        <f>([24]СВОД!$F$8281+[24]СВОД!$F$8282)/1000</f>
        <v>0</v>
      </c>
      <c r="F9" s="113"/>
      <c r="G9" s="111">
        <f t="shared" si="1"/>
        <v>24600.814000000006</v>
      </c>
      <c r="H9" s="139">
        <f>([47]СВОД!$F$4564)/1000-L9-D9</f>
        <v>572.15</v>
      </c>
      <c r="I9" s="113">
        <f>([47]СВОД!$F$4561+[47]СВОД!$F$4562)/1000-M9-E9</f>
        <v>23764.998000000003</v>
      </c>
      <c r="J9" s="162">
        <f>[47]СВОД!$F$1255/1000-N9-F9</f>
        <v>263.666</v>
      </c>
      <c r="K9" s="111">
        <f t="shared" si="2"/>
        <v>463.67</v>
      </c>
      <c r="L9" s="124">
        <f>([25]СВОД!$E$15+[25]СВОД!$E$23+[25]СВОД!$E$49+[25]СВОД!$E$37)/1000</f>
        <v>0</v>
      </c>
      <c r="M9" s="114">
        <f>([50]СВОД!$E$18+[50]СВОД!$E$19+[50]СВОД!$E$37+[50]СВОД!$E$128+[50]СВОД!$E$192)/1000</f>
        <v>463.67</v>
      </c>
      <c r="N9" s="121">
        <f>'[26]справочно СВОД'!$F$6448/1000</f>
        <v>0</v>
      </c>
      <c r="O9" s="147"/>
      <c r="P9" s="131"/>
      <c r="Q9" s="135"/>
      <c r="R9" s="135">
        <f>R8+R7</f>
        <v>0</v>
      </c>
      <c r="S9" s="70"/>
      <c r="T9" s="66"/>
      <c r="U9" s="66"/>
      <c r="W9" s="66"/>
      <c r="X9" s="66"/>
      <c r="Y9" s="66"/>
      <c r="Z9" s="66"/>
    </row>
    <row r="10" spans="1:26" x14ac:dyDescent="0.2">
      <c r="A10" s="102" t="s">
        <v>10</v>
      </c>
      <c r="B10" s="110">
        <f>C10+G10+K10</f>
        <v>256979.28556300001</v>
      </c>
      <c r="C10" s="111">
        <f t="shared" si="0"/>
        <v>0</v>
      </c>
      <c r="D10" s="112">
        <v>0</v>
      </c>
      <c r="E10" s="176">
        <f>[27]СВОД!$G$8282</f>
        <v>0</v>
      </c>
      <c r="F10" s="164"/>
      <c r="G10" s="111">
        <f t="shared" si="1"/>
        <v>116007.88056300001</v>
      </c>
      <c r="H10" s="139">
        <f>([47]СВОД!$G$4564)/1000-L10-D10</f>
        <v>12879.851983000004</v>
      </c>
      <c r="I10" s="113">
        <f>([47]СВОД!$G$4561+[47]СВОД!$G$4562)/1000-M10-E10</f>
        <v>100737.96558000002</v>
      </c>
      <c r="J10" s="162">
        <f>[47]СВОД!$G$1255/1000-N10-F10</f>
        <v>2390.0630000000001</v>
      </c>
      <c r="K10" s="111">
        <f t="shared" si="2"/>
        <v>140971.405</v>
      </c>
      <c r="L10" s="124">
        <f>([50]СВОД!$F$20+[50]СВОД!$F$28+[50]СВОД!$F$129)/1000</f>
        <v>24322.687000000002</v>
      </c>
      <c r="M10" s="114">
        <f>([50]СВОД!$F$18+[50]СВОД!$F$19+[50]СВОД!$F$37+[50]СВОД!$F$128+[50]СВОД!$F$192)/1000</f>
        <v>115133.361</v>
      </c>
      <c r="N10" s="121">
        <f>'[47]справочно СВОД'!$G$8641/1000</f>
        <v>1515.357</v>
      </c>
      <c r="O10" s="148"/>
      <c r="P10" s="133"/>
      <c r="Q10" s="135"/>
      <c r="R10" s="135"/>
      <c r="S10" s="70"/>
      <c r="T10" s="83"/>
      <c r="U10" s="66"/>
      <c r="W10" s="66"/>
      <c r="X10" s="66"/>
      <c r="Y10" s="66"/>
      <c r="Z10" s="66"/>
    </row>
    <row r="11" spans="1:26" ht="13.5" thickBot="1" x14ac:dyDescent="0.25">
      <c r="A11" s="103" t="s">
        <v>11</v>
      </c>
      <c r="B11" s="115">
        <f>C11+G11+K11</f>
        <v>475922.67722699989</v>
      </c>
      <c r="C11" s="116">
        <f t="shared" si="0"/>
        <v>1.3240000000000001</v>
      </c>
      <c r="D11" s="117">
        <f>[49]СВОД!$H$8290/1000+[49]СВОД!$H$8293/1000</f>
        <v>1.3240000000000001</v>
      </c>
      <c r="E11" s="182">
        <f>[28]СВОД!$H$8282/1000</f>
        <v>0</v>
      </c>
      <c r="F11" s="163">
        <v>0</v>
      </c>
      <c r="G11" s="116">
        <f t="shared" si="1"/>
        <v>182618.4702269999</v>
      </c>
      <c r="H11" s="139">
        <f>([47]СВОД!$H$4564)/1000-L11-D11</f>
        <v>148258.44838599989</v>
      </c>
      <c r="I11" s="113">
        <f>([47]СВОД!$H$4561+[47]СВОД!$H$4562)/1000-M11-E11</f>
        <v>31736.698841000012</v>
      </c>
      <c r="J11" s="162">
        <f>[47]СВОД!$H$1255/1000-N11-F11</f>
        <v>2623.3229999999967</v>
      </c>
      <c r="K11" s="116">
        <f t="shared" si="2"/>
        <v>293302.88300000003</v>
      </c>
      <c r="L11" s="178">
        <f>([50]СВОД!$G$20+[50]СВОД!$G$28+[50]СВОД!$G$129)/1000</f>
        <v>188626.24100000001</v>
      </c>
      <c r="M11" s="114">
        <f>([50]СВОД!$G$18+[50]СВОД!$G$19+[50]СВОД!$G$37+[50]СВОД!$G$128+[50]СВОД!$G$192)/1000</f>
        <v>50255.046999999999</v>
      </c>
      <c r="N11" s="122">
        <f>'[47]справочно СВОД'!$H$8641/1000</f>
        <v>54421.595000000001</v>
      </c>
      <c r="O11" s="148"/>
      <c r="P11" s="133"/>
      <c r="Q11" s="131"/>
      <c r="R11" s="131"/>
      <c r="S11" s="70"/>
      <c r="T11" s="83"/>
      <c r="U11" s="66"/>
      <c r="W11" s="66"/>
      <c r="X11" s="66"/>
      <c r="Y11" s="66"/>
      <c r="Z11" s="66"/>
    </row>
    <row r="12" spans="1:26" hidden="1" x14ac:dyDescent="0.2">
      <c r="A12" s="68"/>
      <c r="B12" s="186">
        <f t="shared" ref="B12:M12" si="3">SUM(B6:B11)</f>
        <v>1874944.7947979998</v>
      </c>
      <c r="C12" s="186">
        <f>SUM(C6:C11)</f>
        <v>19982.084000000003</v>
      </c>
      <c r="D12" s="186">
        <f t="shared" si="3"/>
        <v>116.256</v>
      </c>
      <c r="E12" s="186">
        <f t="shared" si="3"/>
        <v>18712.714</v>
      </c>
      <c r="F12" s="186">
        <f t="shared" si="3"/>
        <v>1153.114</v>
      </c>
      <c r="G12" s="186">
        <f>SUM(G6:G11)</f>
        <v>982456.31279799971</v>
      </c>
      <c r="H12" s="186">
        <f>SUM(H6:H11)</f>
        <v>328204.71195599978</v>
      </c>
      <c r="I12" s="186">
        <f t="shared" si="3"/>
        <v>506594.30884200009</v>
      </c>
      <c r="J12" s="186">
        <f t="shared" si="3"/>
        <v>147657.29199999999</v>
      </c>
      <c r="K12" s="186">
        <f t="shared" si="3"/>
        <v>872506.39800000004</v>
      </c>
      <c r="L12" s="186">
        <f t="shared" si="3"/>
        <v>426120.25600000005</v>
      </c>
      <c r="M12" s="186">
        <f t="shared" si="3"/>
        <v>334139.554</v>
      </c>
      <c r="N12" s="186">
        <f>SUM(N6:N11)</f>
        <v>112246.588</v>
      </c>
      <c r="O12" s="149"/>
      <c r="P12" s="131"/>
      <c r="Q12" s="131"/>
      <c r="R12" s="131"/>
      <c r="S12" s="68"/>
    </row>
    <row r="13" spans="1:26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49"/>
      <c r="P13" s="133"/>
      <c r="Q13" s="150"/>
      <c r="R13" s="131"/>
      <c r="S13" s="138"/>
      <c r="T13" s="83"/>
      <c r="U13" s="66"/>
      <c r="W13" s="66"/>
      <c r="X13" s="66"/>
      <c r="Y13" s="66"/>
      <c r="Z13" s="66"/>
    </row>
    <row r="14" spans="1:26" x14ac:dyDescent="0.2">
      <c r="A14" s="68"/>
      <c r="B14" s="68"/>
      <c r="C14" s="68"/>
      <c r="D14" s="181"/>
      <c r="E14" s="68"/>
      <c r="F14" s="68"/>
      <c r="G14" s="73">
        <f>[43]СВОД!$C$24/1000</f>
        <v>448396.102587</v>
      </c>
      <c r="H14" s="70">
        <f>'[30]справочно СВОД'!$C$5485/1000</f>
        <v>137254.64304000002</v>
      </c>
      <c r="I14" s="68"/>
      <c r="J14" s="68"/>
      <c r="K14" s="68"/>
      <c r="L14" s="68"/>
      <c r="M14" s="68"/>
      <c r="N14" s="68"/>
      <c r="O14" s="149"/>
      <c r="P14" s="133"/>
      <c r="Q14" s="151"/>
      <c r="R14" s="131"/>
      <c r="S14" s="138"/>
      <c r="T14" s="83"/>
      <c r="U14" s="66"/>
      <c r="W14" s="66"/>
      <c r="X14" s="66"/>
      <c r="Y14" s="66"/>
      <c r="Z14" s="66"/>
    </row>
    <row r="15" spans="1:26" x14ac:dyDescent="0.2">
      <c r="A15" s="68"/>
      <c r="B15" s="68"/>
      <c r="C15" s="68"/>
      <c r="D15" s="68"/>
      <c r="E15" s="68"/>
      <c r="F15" s="68"/>
      <c r="G15" s="68"/>
      <c r="H15" s="68"/>
      <c r="I15" s="68"/>
      <c r="J15" s="187"/>
      <c r="K15" s="68"/>
      <c r="L15" s="68"/>
      <c r="M15" s="68"/>
      <c r="N15" s="68"/>
      <c r="O15" s="149"/>
      <c r="P15" s="131"/>
      <c r="Q15" s="151"/>
      <c r="R15" s="131"/>
      <c r="S15" s="138"/>
      <c r="T15" s="83"/>
      <c r="U15" s="66"/>
      <c r="W15" s="66"/>
      <c r="X15" s="66"/>
      <c r="Y15" s="66"/>
      <c r="Z15" s="66"/>
    </row>
    <row r="16" spans="1:26" x14ac:dyDescent="0.2">
      <c r="A16" s="76" t="s">
        <v>23</v>
      </c>
      <c r="B16" s="76"/>
      <c r="C16" s="76"/>
      <c r="D16" s="76"/>
      <c r="E16" s="76"/>
      <c r="F16" s="76"/>
      <c r="G16" s="76"/>
      <c r="H16" s="76">
        <f>[31]декабрь!$D$72/1000+'[30]справочно СВОД'!$C$5485/1000+'[32]Акт наш'!$D$732/1000</f>
        <v>595415.46403999999</v>
      </c>
      <c r="I16" s="76">
        <f>H16-G6</f>
        <v>104187.30764100014</v>
      </c>
      <c r="J16" s="76"/>
      <c r="K16" s="76"/>
      <c r="L16" s="76"/>
      <c r="M16" s="76"/>
      <c r="N16" s="76"/>
      <c r="O16" s="152"/>
      <c r="P16" s="153"/>
      <c r="Q16" s="151"/>
      <c r="R16" s="131"/>
      <c r="S16" s="138"/>
      <c r="T16" s="83"/>
      <c r="U16" s="66"/>
      <c r="W16" s="66"/>
      <c r="X16" s="66"/>
      <c r="Y16" s="66"/>
      <c r="Z16" s="66"/>
    </row>
    <row r="17" spans="1:20" s="119" customFormat="1" ht="28.5" customHeight="1" x14ac:dyDescent="0.2">
      <c r="A17" s="213" t="s">
        <v>24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154"/>
      <c r="P17" s="155"/>
      <c r="Q17" s="151"/>
      <c r="R17" s="131"/>
      <c r="S17" s="138"/>
      <c r="T17" s="118"/>
    </row>
    <row r="18" spans="1:20" s="119" customFormat="1" x14ac:dyDescent="0.2">
      <c r="A18" s="68"/>
      <c r="B18" s="68"/>
      <c r="C18" s="68"/>
      <c r="D18" s="68"/>
      <c r="E18" s="149"/>
      <c r="F18" s="149"/>
      <c r="G18" s="125"/>
      <c r="H18" s="125"/>
      <c r="I18" s="125"/>
      <c r="J18" s="125"/>
      <c r="K18" s="175"/>
      <c r="L18" s="125"/>
      <c r="M18" s="125"/>
      <c r="N18" s="125"/>
      <c r="O18" s="125"/>
      <c r="P18" s="131"/>
      <c r="Q18" s="151"/>
      <c r="R18" s="131"/>
      <c r="S18" s="138"/>
      <c r="T18" s="118"/>
    </row>
    <row r="19" spans="1:20" s="119" customFormat="1" x14ac:dyDescent="0.2">
      <c r="A19" s="68"/>
      <c r="B19" s="68"/>
      <c r="C19" s="170">
        <f>'[51]Акт наш вариант '!$B$21/1000</f>
        <v>9414.4850000000006</v>
      </c>
      <c r="D19" s="68" t="s">
        <v>56</v>
      </c>
      <c r="E19" s="149"/>
      <c r="F19" s="149"/>
      <c r="G19" s="125"/>
      <c r="H19" s="125"/>
      <c r="I19" s="125"/>
      <c r="J19" s="125"/>
      <c r="K19" s="175">
        <f>[50]СВОД!$C$9/1000-K6</f>
        <v>-93.606000000028871</v>
      </c>
      <c r="L19" s="125" t="s">
        <v>57</v>
      </c>
      <c r="M19" s="125"/>
      <c r="N19" s="125"/>
      <c r="O19" s="125"/>
      <c r="P19" s="131"/>
      <c r="Q19" s="150"/>
      <c r="R19" s="131"/>
      <c r="S19" s="138"/>
      <c r="T19" s="118"/>
    </row>
    <row r="20" spans="1:20" s="119" customFormat="1" x14ac:dyDescent="0.2">
      <c r="A20" s="68"/>
      <c r="B20" s="68"/>
      <c r="C20" s="189">
        <f>C6-C19</f>
        <v>576.5570000000007</v>
      </c>
      <c r="D20" s="68"/>
      <c r="E20" s="149"/>
      <c r="F20" s="149"/>
      <c r="G20" s="125"/>
      <c r="H20" s="127"/>
      <c r="I20" s="127"/>
      <c r="J20" s="128"/>
      <c r="K20" s="175">
        <f>[50]СВОД!$C$37/1000</f>
        <v>133.91</v>
      </c>
      <c r="L20" s="125" t="s">
        <v>58</v>
      </c>
      <c r="M20" s="125"/>
      <c r="N20" s="126"/>
      <c r="O20" s="125"/>
      <c r="P20" s="131"/>
      <c r="Q20" s="150"/>
      <c r="R20" s="131"/>
      <c r="S20" s="68"/>
    </row>
    <row r="21" spans="1:20" s="119" customFormat="1" x14ac:dyDescent="0.2">
      <c r="A21" s="68"/>
      <c r="B21" s="68"/>
      <c r="C21" s="74">
        <f>C6-F6</f>
        <v>9414.4850000000006</v>
      </c>
      <c r="D21" s="172" t="s">
        <v>55</v>
      </c>
      <c r="E21" s="171">
        <f>[49]СВОД!$C$8280</f>
        <v>9414485</v>
      </c>
      <c r="F21" s="149"/>
      <c r="G21" s="125"/>
      <c r="H21" s="129"/>
      <c r="I21" s="129"/>
      <c r="J21" s="126"/>
      <c r="K21" s="174">
        <f>K19-K20</f>
        <v>-227.51600000002887</v>
      </c>
      <c r="L21" s="175"/>
      <c r="M21" s="175">
        <f>'[47]справочно СВОД'!$C$8641-'[52]справочно СВОД'!$C$8641</f>
        <v>93606</v>
      </c>
      <c r="N21" s="125"/>
      <c r="O21" s="125"/>
      <c r="P21" s="131"/>
      <c r="Q21" s="131"/>
      <c r="R21" s="131"/>
      <c r="S21" s="68"/>
    </row>
    <row r="22" spans="1:20" s="119" customFormat="1" x14ac:dyDescent="0.2">
      <c r="A22" s="68"/>
      <c r="B22" s="68"/>
      <c r="C22" s="120">
        <f>C6-C21</f>
        <v>576.5570000000007</v>
      </c>
      <c r="D22" s="68"/>
      <c r="E22" s="149"/>
      <c r="F22" s="149"/>
      <c r="G22" s="125"/>
      <c r="H22" s="129"/>
      <c r="I22" s="129"/>
      <c r="J22" s="125"/>
      <c r="K22" s="126"/>
      <c r="L22" s="125"/>
      <c r="M22" s="125"/>
      <c r="N22" s="130"/>
      <c r="O22" s="125"/>
      <c r="P22" s="131"/>
      <c r="Q22" s="131"/>
      <c r="R22" s="131"/>
      <c r="S22" s="68"/>
    </row>
    <row r="23" spans="1:20" s="119" customFormat="1" x14ac:dyDescent="0.2">
      <c r="A23" s="68"/>
      <c r="B23" s="68"/>
      <c r="C23" s="68"/>
      <c r="D23" s="165" t="s">
        <v>54</v>
      </c>
      <c r="E23" s="165" t="s">
        <v>54</v>
      </c>
      <c r="F23" s="165" t="s">
        <v>53</v>
      </c>
      <c r="G23" s="166"/>
      <c r="H23" s="167"/>
      <c r="I23" s="167"/>
      <c r="J23" s="168"/>
      <c r="K23" s="180">
        <f>K21*1000</f>
        <v>-227516.00000002887</v>
      </c>
      <c r="L23" s="169" t="s">
        <v>51</v>
      </c>
      <c r="M23" s="169" t="s">
        <v>51</v>
      </c>
      <c r="N23" s="169" t="s">
        <v>52</v>
      </c>
      <c r="O23" s="125"/>
      <c r="P23" s="131"/>
      <c r="Q23" s="150"/>
      <c r="R23" s="150"/>
      <c r="S23" s="68"/>
    </row>
    <row r="24" spans="1:20" s="119" customFormat="1" x14ac:dyDescent="0.2">
      <c r="A24" s="68"/>
      <c r="B24" s="68"/>
      <c r="C24" s="181">
        <f>C20-C22</f>
        <v>0</v>
      </c>
      <c r="D24" s="68"/>
      <c r="E24" s="149"/>
      <c r="F24" s="156"/>
      <c r="G24" s="128"/>
      <c r="H24" s="129"/>
      <c r="I24" s="129"/>
      <c r="J24" s="125"/>
      <c r="K24" s="174">
        <f>K23+M21</f>
        <v>-133910.00000002887</v>
      </c>
      <c r="L24" s="125"/>
      <c r="M24" s="125"/>
      <c r="N24" s="125"/>
      <c r="O24" s="125"/>
      <c r="P24" s="131"/>
      <c r="Q24" s="131"/>
      <c r="R24" s="131"/>
      <c r="S24" s="68"/>
    </row>
    <row r="25" spans="1:20" s="119" customFormat="1" x14ac:dyDescent="0.2">
      <c r="A25" s="68"/>
      <c r="B25" s="68"/>
      <c r="C25" s="181"/>
      <c r="D25" s="68"/>
      <c r="E25" s="149"/>
      <c r="F25" s="149"/>
      <c r="G25" s="128"/>
      <c r="H25" s="125"/>
      <c r="I25" s="125"/>
      <c r="J25" s="125"/>
      <c r="K25" s="125"/>
      <c r="L25" s="125"/>
      <c r="M25" s="125"/>
      <c r="N25" s="125"/>
      <c r="O25" s="125"/>
      <c r="P25" s="131"/>
      <c r="Q25" s="131"/>
      <c r="R25" s="131"/>
      <c r="S25" s="68"/>
    </row>
    <row r="26" spans="1:20" s="119" customFormat="1" x14ac:dyDescent="0.2">
      <c r="A26" s="68"/>
      <c r="B26" s="68"/>
      <c r="C26" s="68"/>
      <c r="D26" s="68"/>
      <c r="E26" s="149"/>
      <c r="F26" s="149"/>
      <c r="G26" s="128"/>
      <c r="H26" s="126"/>
      <c r="I26" s="126"/>
      <c r="J26" s="125"/>
      <c r="K26" s="125"/>
      <c r="L26" s="125"/>
      <c r="M26" s="125"/>
      <c r="N26" s="125"/>
      <c r="O26" s="125"/>
      <c r="P26" s="131"/>
      <c r="Q26" s="131"/>
      <c r="R26" s="131"/>
      <c r="S26" s="68"/>
    </row>
    <row r="27" spans="1:20" s="119" customFormat="1" x14ac:dyDescent="0.2">
      <c r="A27" s="68"/>
      <c r="B27" s="68"/>
      <c r="C27" s="68"/>
      <c r="D27" s="68"/>
      <c r="E27" s="149"/>
      <c r="F27" s="149"/>
      <c r="G27" s="128"/>
      <c r="H27" s="126"/>
      <c r="I27" s="126"/>
      <c r="J27" s="125"/>
      <c r="K27" s="125"/>
      <c r="L27" s="125"/>
      <c r="M27" s="125"/>
      <c r="N27" s="125"/>
      <c r="O27" s="125"/>
      <c r="P27" s="131"/>
      <c r="Q27" s="136"/>
      <c r="R27" s="136"/>
      <c r="S27" s="68"/>
    </row>
    <row r="28" spans="1:20" s="119" customFormat="1" x14ac:dyDescent="0.2">
      <c r="A28" s="68"/>
      <c r="B28" s="68"/>
      <c r="C28" s="181"/>
      <c r="D28" s="68"/>
      <c r="E28" s="149"/>
      <c r="F28" s="149"/>
      <c r="G28" s="125"/>
      <c r="H28" s="126"/>
      <c r="I28" s="126"/>
      <c r="J28" s="125"/>
      <c r="K28" s="125"/>
      <c r="L28" s="125"/>
      <c r="M28" s="125"/>
      <c r="N28" s="125"/>
      <c r="O28" s="125"/>
      <c r="P28" s="131"/>
      <c r="Q28" s="136"/>
      <c r="R28" s="136"/>
      <c r="S28" s="68"/>
    </row>
    <row r="29" spans="1:20" s="119" customFormat="1" x14ac:dyDescent="0.2">
      <c r="A29" s="68"/>
      <c r="B29" s="68"/>
      <c r="C29" s="68"/>
      <c r="D29" s="68"/>
      <c r="E29" s="149"/>
      <c r="F29" s="149"/>
      <c r="G29" s="125"/>
      <c r="H29" s="126"/>
      <c r="I29" s="126"/>
      <c r="J29" s="125"/>
      <c r="K29" s="125"/>
      <c r="L29" s="125"/>
      <c r="M29" s="125"/>
      <c r="N29" s="125"/>
      <c r="O29" s="125"/>
      <c r="P29" s="131"/>
      <c r="Q29" s="136"/>
      <c r="R29" s="136"/>
      <c r="S29" s="68"/>
    </row>
    <row r="30" spans="1:20" s="119" customFormat="1" x14ac:dyDescent="0.2">
      <c r="A30" s="68"/>
      <c r="B30" s="68"/>
      <c r="C30" s="181"/>
      <c r="D30" s="68"/>
      <c r="E30" s="149"/>
      <c r="F30" s="149"/>
      <c r="G30" s="125"/>
      <c r="H30" s="126"/>
      <c r="I30" s="126"/>
      <c r="J30" s="125"/>
      <c r="K30" s="125"/>
      <c r="L30" s="125"/>
      <c r="M30" s="125"/>
      <c r="N30" s="125"/>
      <c r="O30" s="125"/>
      <c r="P30" s="131"/>
      <c r="Q30" s="136"/>
      <c r="R30" s="136"/>
      <c r="S30" s="68"/>
    </row>
    <row r="31" spans="1:20" s="119" customFormat="1" x14ac:dyDescent="0.2">
      <c r="E31" s="149"/>
      <c r="F31" s="149"/>
      <c r="G31" s="125"/>
      <c r="H31" s="125"/>
      <c r="I31" s="125"/>
      <c r="J31" s="125"/>
      <c r="K31" s="125"/>
      <c r="L31" s="125"/>
      <c r="M31" s="125"/>
      <c r="N31" s="125"/>
      <c r="O31" s="125"/>
      <c r="P31" s="131"/>
      <c r="Q31" s="131"/>
      <c r="R31" s="131"/>
    </row>
    <row r="32" spans="1:20" s="119" customFormat="1" x14ac:dyDescent="0.2">
      <c r="G32" s="120"/>
      <c r="P32" s="142"/>
      <c r="Q32" s="142"/>
      <c r="R32" s="142"/>
    </row>
    <row r="33" spans="16:18" s="119" customFormat="1" x14ac:dyDescent="0.2">
      <c r="P33" s="142"/>
      <c r="Q33" s="142"/>
      <c r="R33" s="142"/>
    </row>
    <row r="34" spans="16:18" s="119" customFormat="1" x14ac:dyDescent="0.2">
      <c r="P34" s="142"/>
      <c r="Q34" s="142"/>
      <c r="R34" s="142"/>
    </row>
    <row r="35" spans="16:18" s="119" customFormat="1" x14ac:dyDescent="0.2">
      <c r="P35" s="142"/>
      <c r="Q35" s="142"/>
      <c r="R35" s="142"/>
    </row>
    <row r="36" spans="16:18" s="119" customFormat="1" x14ac:dyDescent="0.2">
      <c r="P36" s="142"/>
      <c r="Q36" s="142"/>
      <c r="R36" s="142"/>
    </row>
  </sheetData>
  <mergeCells count="13">
    <mergeCell ref="A17:N17"/>
    <mergeCell ref="A1:N1"/>
    <mergeCell ref="A3:A5"/>
    <mergeCell ref="B3:B5"/>
    <mergeCell ref="C3:F3"/>
    <mergeCell ref="G3:J3"/>
    <mergeCell ref="K3:N3"/>
    <mergeCell ref="C4:C5"/>
    <mergeCell ref="D4:F4"/>
    <mergeCell ref="G4:G5"/>
    <mergeCell ref="H4:J4"/>
    <mergeCell ref="K4:K5"/>
    <mergeCell ref="L4:N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20</vt:i4>
      </vt:variant>
    </vt:vector>
  </HeadingPairs>
  <TitlesOfParts>
    <vt:vector size="41" baseType="lpstr">
      <vt:lpstr>янв 13 только УПП</vt:lpstr>
      <vt:lpstr>фев 13 только УПП</vt:lpstr>
      <vt:lpstr>март 13 только УПП</vt:lpstr>
      <vt:lpstr>апрель 13 только УПП</vt:lpstr>
      <vt:lpstr>май 13 только УПП</vt:lpstr>
      <vt:lpstr>январь22</vt:lpstr>
      <vt:lpstr>февраль22</vt:lpstr>
      <vt:lpstr>март22 </vt:lpstr>
      <vt:lpstr>апрель 22</vt:lpstr>
      <vt:lpstr>май 22</vt:lpstr>
      <vt:lpstr>июнь 22</vt:lpstr>
      <vt:lpstr>июль 22</vt:lpstr>
      <vt:lpstr>август 22</vt:lpstr>
      <vt:lpstr>сентябрь 22</vt:lpstr>
      <vt:lpstr>октябрь 22 </vt:lpstr>
      <vt:lpstr>ноябрь 22</vt:lpstr>
      <vt:lpstr>декабрь 22</vt:lpstr>
      <vt:lpstr>1пг</vt:lpstr>
      <vt:lpstr>2пг</vt:lpstr>
      <vt:lpstr>2021</vt:lpstr>
      <vt:lpstr>Лист1</vt:lpstr>
      <vt:lpstr>'1пг'!Область_печати</vt:lpstr>
      <vt:lpstr>'2021'!Область_печати</vt:lpstr>
      <vt:lpstr>'2пг'!Область_печати</vt:lpstr>
      <vt:lpstr>'август 22'!Область_печати</vt:lpstr>
      <vt:lpstr>'апрель 13 только УПП'!Область_печати</vt:lpstr>
      <vt:lpstr>'апрель 22'!Область_печати</vt:lpstr>
      <vt:lpstr>'декабрь 22'!Область_печати</vt:lpstr>
      <vt:lpstr>'июль 22'!Область_печати</vt:lpstr>
      <vt:lpstr>'июнь 22'!Область_печати</vt:lpstr>
      <vt:lpstr>'май 13 только УПП'!Область_печати</vt:lpstr>
      <vt:lpstr>'май 22'!Область_печати</vt:lpstr>
      <vt:lpstr>'март 13 только УПП'!Область_печати</vt:lpstr>
      <vt:lpstr>'март22 '!Область_печати</vt:lpstr>
      <vt:lpstr>'ноябрь 22'!Область_печати</vt:lpstr>
      <vt:lpstr>'октябрь 22 '!Область_печати</vt:lpstr>
      <vt:lpstr>'сентябрь 22'!Область_печати</vt:lpstr>
      <vt:lpstr>'фев 13 только УПП'!Область_печати</vt:lpstr>
      <vt:lpstr>февраль22!Область_печати</vt:lpstr>
      <vt:lpstr>'янв 13 только УПП'!Область_печати</vt:lpstr>
      <vt:lpstr>январь22!Область_печати</vt:lpstr>
    </vt:vector>
  </TitlesOfParts>
  <Company>ОАО "Энергосбыт Ростовэнерго"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ВолковаВВ</dc:creator>
  <cp:lastModifiedBy>Гирш Дарья Петровна</cp:lastModifiedBy>
  <cp:lastPrinted>2016-01-26T11:23:18Z</cp:lastPrinted>
  <dcterms:created xsi:type="dcterms:W3CDTF">2010-11-13T09:24:38Z</dcterms:created>
  <dcterms:modified xsi:type="dcterms:W3CDTF">2023-01-20T11:49:56Z</dcterms:modified>
</cp:coreProperties>
</file>